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osaif\Dropbox\R2(2020)\"/>
    </mc:Choice>
  </mc:AlternateContent>
  <xr:revisionPtr revIDLastSave="0" documentId="13_ncr:1_{171199EE-415F-4899-8A09-500CE866FFF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0.1.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2" i="1" l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J4" i="1"/>
  <c r="K4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</calcChain>
</file>

<file path=xl/sharedStrings.xml><?xml version="1.0" encoding="utf-8"?>
<sst xmlns="http://schemas.openxmlformats.org/spreadsheetml/2006/main" count="288" uniqueCount="124">
  <si>
    <t>名称</t>
  </si>
  <si>
    <t>配当利回り</t>
  </si>
  <si>
    <t>1株配当</t>
  </si>
  <si>
    <t>PER</t>
  </si>
  <si>
    <t>PBR</t>
  </si>
  <si>
    <t>EPS</t>
  </si>
  <si>
    <t>BPS</t>
  </si>
  <si>
    <t>ROE</t>
  </si>
  <si>
    <t>総資産経常利益率</t>
  </si>
  <si>
    <t>売上高</t>
  </si>
  <si>
    <t>営業利益</t>
  </si>
  <si>
    <t>決算期</t>
  </si>
  <si>
    <t>市場</t>
  </si>
  <si>
    <t>保有数</t>
  </si>
  <si>
    <t>(株)タカショー</t>
  </si>
  <si>
    <t>東証1部</t>
  </si>
  <si>
    <t>入力</t>
  </si>
  <si>
    <t>(株)ＵＳＥＮ−ＮＥＸＴ　ＨＯＬＤＩＮＧＳ</t>
  </si>
  <si>
    <t>(株)アズ企画設計</t>
  </si>
  <si>
    <t>---%</t>
  </si>
  <si>
    <t>東証JQS</t>
  </si>
  <si>
    <t>ポエック(株)</t>
  </si>
  <si>
    <t>(株)ベクトル</t>
  </si>
  <si>
    <t>(株)ミンカブ・ジ・インフォノイド</t>
  </si>
  <si>
    <t>マザーズ</t>
  </si>
  <si>
    <t>(株)エイジア</t>
  </si>
  <si>
    <t>(株)ドリームインキュベータ</t>
  </si>
  <si>
    <t>アイペット損害保険(株)</t>
  </si>
  <si>
    <t>フリュー(株)</t>
  </si>
  <si>
    <t>フォーライフ(株)</t>
  </si>
  <si>
    <t>(株)ランドコンピュータ</t>
  </si>
  <si>
    <t>(株)フォーカスシステムズ</t>
  </si>
  <si>
    <t>(株)ＭＳ−Ｊａｐａｎ</t>
  </si>
  <si>
    <t>(株)エアトリ</t>
  </si>
  <si>
    <t>(株)グッドコムアセット</t>
  </si>
  <si>
    <t>(株)フルスピード</t>
  </si>
  <si>
    <t>東証2部</t>
  </si>
  <si>
    <t>フリービット(株)</t>
  </si>
  <si>
    <t>ライク(株)</t>
  </si>
  <si>
    <t>(株)アイリックコーポレーション</t>
  </si>
  <si>
    <t>(株)アーバネットコーポレーション</t>
  </si>
  <si>
    <t>(株)ハウスドゥ</t>
  </si>
  <si>
    <t>ａｎｄ　ｆａｃｔｏｒｙ(株)</t>
  </si>
  <si>
    <t>(株)ツナググループ・ホールディングス</t>
  </si>
  <si>
    <t>プロパティエージェント(株)</t>
  </si>
  <si>
    <t>東都水産(株)</t>
  </si>
  <si>
    <t>(株)パートナーエージェント</t>
  </si>
  <si>
    <t>(株)ディア・ライフ</t>
  </si>
  <si>
    <t>(株)夢真ホールディングス</t>
  </si>
  <si>
    <t>(株)チェンジ</t>
  </si>
  <si>
    <t>(株)ＪＰホールディングス</t>
  </si>
  <si>
    <t>(株)マネジメントソリューションズ</t>
  </si>
  <si>
    <t>サイバーステップ(株)</t>
  </si>
  <si>
    <t>共同ピーアール(株)</t>
  </si>
  <si>
    <t>(株)デイトナ</t>
  </si>
  <si>
    <t>日本和装ホールディングス(株)</t>
  </si>
  <si>
    <t>インパクトホールディングス(株)</t>
  </si>
  <si>
    <t>(株)エプコ</t>
  </si>
  <si>
    <t>2020年1月17日終値（PERは実績）</t>
    <rPh sb="4" eb="5">
      <t>ネン</t>
    </rPh>
    <rPh sb="6" eb="7">
      <t>ガツ</t>
    </rPh>
    <rPh sb="9" eb="10">
      <t>ニチ</t>
    </rPh>
    <rPh sb="10" eb="12">
      <t>オワリネ</t>
    </rPh>
    <rPh sb="17" eb="19">
      <t>ジッセキ</t>
    </rPh>
    <phoneticPr fontId="2"/>
  </si>
  <si>
    <t>株価</t>
    <rPh sb="0" eb="2">
      <t>カブカ</t>
    </rPh>
    <phoneticPr fontId="2"/>
  </si>
  <si>
    <t>---</t>
  </si>
  <si>
    <t>時価総額（百万円）</t>
    <rPh sb="5" eb="8">
      <t>ヒャクマンエン</t>
    </rPh>
    <phoneticPr fontId="2"/>
  </si>
  <si>
    <t xml:space="preserve"> 2019年1月期</t>
  </si>
  <si>
    <t xml:space="preserve"> 2019年8月期</t>
  </si>
  <si>
    <t xml:space="preserve"> 2019年2月期</t>
  </si>
  <si>
    <t xml:space="preserve"> 2019年3月期</t>
  </si>
  <si>
    <t xml:space="preserve"> 2019年9月期</t>
  </si>
  <si>
    <t xml:space="preserve"> 2019年10月期</t>
  </si>
  <si>
    <t xml:space="preserve"> 2019年4月期</t>
  </si>
  <si>
    <t xml:space="preserve"> 2019年5月期</t>
  </si>
  <si>
    <t xml:space="preserve"> 2019年6月期</t>
  </si>
  <si>
    <t xml:space="preserve"> 2018年12月期</t>
  </si>
  <si>
    <t xml:space="preserve"> ---</t>
  </si>
  <si>
    <t>ミックス係数（PER×PBR）</t>
    <rPh sb="4" eb="6">
      <t>ケイスウ</t>
    </rPh>
    <phoneticPr fontId="2"/>
  </si>
  <si>
    <t>配当性向</t>
    <rPh sb="0" eb="2">
      <t>ハイトウ</t>
    </rPh>
    <rPh sb="2" eb="4">
      <t>セイコウ</t>
    </rPh>
    <phoneticPr fontId="2"/>
  </si>
  <si>
    <t>DOE</t>
    <phoneticPr fontId="2"/>
  </si>
  <si>
    <t>コード2</t>
  </si>
  <si>
    <t>優待月</t>
    <rPh sb="0" eb="2">
      <t>ユウタイ</t>
    </rPh>
    <rPh sb="2" eb="3">
      <t>ゲツ</t>
    </rPh>
    <phoneticPr fontId="2"/>
  </si>
  <si>
    <t>ＪＫホールディングス(株)</t>
    <phoneticPr fontId="2"/>
  </si>
  <si>
    <t>株主優待ポイントリンク先</t>
    <rPh sb="0" eb="2">
      <t>カブヌシ</t>
    </rPh>
    <rPh sb="2" eb="4">
      <t>ユウタイ</t>
    </rPh>
    <rPh sb="11" eb="12">
      <t>サキ</t>
    </rPh>
    <phoneticPr fontId="2"/>
  </si>
  <si>
    <t>2月</t>
  </si>
  <si>
    <t>3月</t>
  </si>
  <si>
    <t>3月・9月</t>
  </si>
  <si>
    <t>4月・10月</t>
  </si>
  <si>
    <t>4月</t>
  </si>
  <si>
    <t>5月</t>
  </si>
  <si>
    <t>6月</t>
  </si>
  <si>
    <t>8月</t>
  </si>
  <si>
    <t>9月</t>
  </si>
  <si>
    <t>10月</t>
  </si>
  <si>
    <t>11月</t>
  </si>
  <si>
    <t>12月</t>
  </si>
  <si>
    <t>400株～　6000pt（1年以上で10％増）</t>
    <rPh sb="3" eb="4">
      <t>カブ</t>
    </rPh>
    <rPh sb="14" eb="15">
      <t>ネン</t>
    </rPh>
    <rPh sb="15" eb="17">
      <t>イジョウ</t>
    </rPh>
    <rPh sb="21" eb="22">
      <t>ゾウ</t>
    </rPh>
    <phoneticPr fontId="2"/>
  </si>
  <si>
    <t>500株～　3000pt（1年以上で10％増）</t>
    <rPh sb="3" eb="4">
      <t>カブ</t>
    </rPh>
    <rPh sb="14" eb="15">
      <t>ネン</t>
    </rPh>
    <rPh sb="15" eb="17">
      <t>イジョウ</t>
    </rPh>
    <rPh sb="21" eb="22">
      <t>ゾウ</t>
    </rPh>
    <phoneticPr fontId="2"/>
  </si>
  <si>
    <t>100株～　500pt（1年以上で10～100％増）</t>
    <rPh sb="3" eb="4">
      <t>カブ</t>
    </rPh>
    <rPh sb="13" eb="14">
      <t>ネン</t>
    </rPh>
    <rPh sb="14" eb="16">
      <t>イジョウ</t>
    </rPh>
    <rPh sb="24" eb="25">
      <t>ゾウ</t>
    </rPh>
    <phoneticPr fontId="2"/>
  </si>
  <si>
    <t>100株～　2000pt（1年以上で10％増）</t>
    <rPh sb="3" eb="4">
      <t>カブ</t>
    </rPh>
    <rPh sb="14" eb="15">
      <t>ネン</t>
    </rPh>
    <rPh sb="15" eb="17">
      <t>イジョウ</t>
    </rPh>
    <rPh sb="21" eb="22">
      <t>ゾウ</t>
    </rPh>
    <phoneticPr fontId="2"/>
  </si>
  <si>
    <t>100株～　7000pt（1年以上で10％増）</t>
    <rPh sb="3" eb="4">
      <t>カブ</t>
    </rPh>
    <rPh sb="14" eb="15">
      <t>ネン</t>
    </rPh>
    <rPh sb="15" eb="17">
      <t>イジョウ</t>
    </rPh>
    <rPh sb="21" eb="22">
      <t>ゾウ</t>
    </rPh>
    <phoneticPr fontId="2"/>
  </si>
  <si>
    <t>500株～　2750pt（1年以上で10％増）</t>
    <rPh sb="3" eb="4">
      <t>カブ</t>
    </rPh>
    <rPh sb="14" eb="15">
      <t>ネン</t>
    </rPh>
    <rPh sb="15" eb="17">
      <t>イジョウ</t>
    </rPh>
    <rPh sb="21" eb="22">
      <t>ゾウ</t>
    </rPh>
    <phoneticPr fontId="2"/>
  </si>
  <si>
    <t>200株～　1500pt（1年以上で10％増）</t>
    <rPh sb="3" eb="4">
      <t>カブ</t>
    </rPh>
    <rPh sb="14" eb="15">
      <t>ネン</t>
    </rPh>
    <rPh sb="15" eb="17">
      <t>イジョウ</t>
    </rPh>
    <rPh sb="21" eb="22">
      <t>ゾウ</t>
    </rPh>
    <phoneticPr fontId="2"/>
  </si>
  <si>
    <t>300株～　3000pt（1年以上で10％増）</t>
    <rPh sb="3" eb="4">
      <t>カブ</t>
    </rPh>
    <rPh sb="14" eb="15">
      <t>ネン</t>
    </rPh>
    <rPh sb="15" eb="17">
      <t>イジョウ</t>
    </rPh>
    <rPh sb="21" eb="22">
      <t>ゾウ</t>
    </rPh>
    <phoneticPr fontId="2"/>
  </si>
  <si>
    <t>1000株～　9000pt</t>
    <rPh sb="4" eb="5">
      <t>カブ</t>
    </rPh>
    <phoneticPr fontId="2"/>
  </si>
  <si>
    <t>100株～　3500pt（1年以上で10％増）</t>
    <rPh sb="3" eb="4">
      <t>カブ</t>
    </rPh>
    <rPh sb="14" eb="15">
      <t>ネン</t>
    </rPh>
    <rPh sb="15" eb="17">
      <t>イジョウ</t>
    </rPh>
    <rPh sb="21" eb="22">
      <t>ゾウ</t>
    </rPh>
    <phoneticPr fontId="2"/>
  </si>
  <si>
    <t>100株～　3000pt</t>
    <rPh sb="3" eb="4">
      <t>カブ</t>
    </rPh>
    <phoneticPr fontId="2"/>
  </si>
  <si>
    <t>200株～　2000pt</t>
    <rPh sb="3" eb="4">
      <t>カブ</t>
    </rPh>
    <phoneticPr fontId="2"/>
  </si>
  <si>
    <t>100株～　5000pt（1年以上で10％増）</t>
    <rPh sb="3" eb="4">
      <t>カブ</t>
    </rPh>
    <rPh sb="14" eb="15">
      <t>ネン</t>
    </rPh>
    <rPh sb="15" eb="17">
      <t>イジョウ</t>
    </rPh>
    <rPh sb="21" eb="22">
      <t>ゾウ</t>
    </rPh>
    <phoneticPr fontId="2"/>
  </si>
  <si>
    <t>100株～　1000pt（1年以上で10％増）</t>
    <rPh sb="3" eb="4">
      <t>カブ</t>
    </rPh>
    <rPh sb="14" eb="15">
      <t>ネン</t>
    </rPh>
    <rPh sb="15" eb="17">
      <t>イジョウ</t>
    </rPh>
    <rPh sb="21" eb="22">
      <t>ゾウ</t>
    </rPh>
    <phoneticPr fontId="2"/>
  </si>
  <si>
    <t>100株～　3000pt（1年以上で10％増）</t>
    <rPh sb="3" eb="4">
      <t>カブ</t>
    </rPh>
    <rPh sb="14" eb="15">
      <t>ネン</t>
    </rPh>
    <rPh sb="15" eb="17">
      <t>イジョウ</t>
    </rPh>
    <rPh sb="21" eb="22">
      <t>ゾウ</t>
    </rPh>
    <phoneticPr fontId="2"/>
  </si>
  <si>
    <t>100株～　5000pt</t>
    <rPh sb="3" eb="4">
      <t>カブ</t>
    </rPh>
    <phoneticPr fontId="2"/>
  </si>
  <si>
    <t>200株～　2500pt（1年以上で10％増）</t>
    <rPh sb="3" eb="4">
      <t>カブ</t>
    </rPh>
    <rPh sb="14" eb="15">
      <t>ネン</t>
    </rPh>
    <rPh sb="15" eb="17">
      <t>イジョウ</t>
    </rPh>
    <rPh sb="21" eb="22">
      <t>ゾウ</t>
    </rPh>
    <phoneticPr fontId="2"/>
  </si>
  <si>
    <t>500株～　3000pt</t>
    <rPh sb="3" eb="4">
      <t>カブ</t>
    </rPh>
    <phoneticPr fontId="2"/>
  </si>
  <si>
    <t>200株～　2500pt</t>
    <rPh sb="3" eb="4">
      <t>カブ</t>
    </rPh>
    <phoneticPr fontId="2"/>
  </si>
  <si>
    <t>100株～　2000pt</t>
    <rPh sb="3" eb="4">
      <t>カブ</t>
    </rPh>
    <phoneticPr fontId="2"/>
  </si>
  <si>
    <t>500株～　8000pt</t>
    <rPh sb="3" eb="4">
      <t>カブ</t>
    </rPh>
    <phoneticPr fontId="2"/>
  </si>
  <si>
    <t>800株～　4000pt</t>
    <rPh sb="3" eb="4">
      <t>カブ</t>
    </rPh>
    <phoneticPr fontId="2"/>
  </si>
  <si>
    <r>
      <t xml:space="preserve">200株～　1000pt </t>
    </r>
    <r>
      <rPr>
        <sz val="11"/>
        <color rgb="FFFF0000"/>
        <rFont val="Yu Gothic"/>
        <family val="3"/>
        <charset val="128"/>
        <scheme val="minor"/>
      </rPr>
      <t>※改悪</t>
    </r>
    <rPh sb="3" eb="4">
      <t>カブ</t>
    </rPh>
    <rPh sb="14" eb="16">
      <t>カイアク</t>
    </rPh>
    <phoneticPr fontId="2"/>
  </si>
  <si>
    <t>100株～　2500pt（1年以上で10％増）</t>
    <rPh sb="3" eb="4">
      <t>カブ</t>
    </rPh>
    <rPh sb="14" eb="15">
      <t>ネン</t>
    </rPh>
    <rPh sb="15" eb="17">
      <t>イジョウ</t>
    </rPh>
    <rPh sb="21" eb="22">
      <t>ゾウ</t>
    </rPh>
    <phoneticPr fontId="2"/>
  </si>
  <si>
    <t>100株～　1000pt</t>
    <rPh sb="3" eb="4">
      <t>カブ</t>
    </rPh>
    <phoneticPr fontId="2"/>
  </si>
  <si>
    <t>100株～　1500pt（1年以上で10％増）</t>
    <rPh sb="3" eb="4">
      <t>カブ</t>
    </rPh>
    <rPh sb="14" eb="15">
      <t>ネン</t>
    </rPh>
    <rPh sb="15" eb="17">
      <t>イジョウ</t>
    </rPh>
    <rPh sb="21" eb="22">
      <t>ゾウ</t>
    </rPh>
    <phoneticPr fontId="2"/>
  </si>
  <si>
    <t>500株～　2000pt（1年以上で10％増）</t>
    <rPh sb="3" eb="4">
      <t>カブ</t>
    </rPh>
    <rPh sb="14" eb="15">
      <t>ネン</t>
    </rPh>
    <rPh sb="15" eb="17">
      <t>イジョウ</t>
    </rPh>
    <rPh sb="21" eb="22">
      <t>ゾウ</t>
    </rPh>
    <phoneticPr fontId="2"/>
  </si>
  <si>
    <t>300株～　3000pt</t>
    <rPh sb="3" eb="4">
      <t>カブ</t>
    </rPh>
    <phoneticPr fontId="2"/>
  </si>
  <si>
    <t>200株～　3000pt（1年以上で10％増）</t>
    <rPh sb="3" eb="4">
      <t>カブ</t>
    </rPh>
    <rPh sb="14" eb="15">
      <t>ネン</t>
    </rPh>
    <rPh sb="15" eb="17">
      <t>イジョウ</t>
    </rPh>
    <rPh sb="21" eb="22">
      <t>ゾウ</t>
    </rPh>
    <phoneticPr fontId="2"/>
  </si>
  <si>
    <t>200株～　4000pt（1年以上で10％増）</t>
    <rPh sb="3" eb="4">
      <t>カブ</t>
    </rPh>
    <rPh sb="14" eb="15">
      <t>ネン</t>
    </rPh>
    <rPh sb="15" eb="17">
      <t>イジョウ</t>
    </rPh>
    <rPh sb="21" eb="22">
      <t>ゾウ</t>
    </rPh>
    <phoneticPr fontId="2"/>
  </si>
  <si>
    <t>500株～　5000pt（1年以上で10％増）</t>
    <rPh sb="3" eb="4">
      <t>カブ</t>
    </rPh>
    <rPh sb="14" eb="15">
      <t>ネン</t>
    </rPh>
    <rPh sb="15" eb="17">
      <t>イジョウ</t>
    </rPh>
    <rPh sb="21" eb="22">
      <t>ゾウ</t>
    </rPh>
    <phoneticPr fontId="2"/>
  </si>
  <si>
    <t>株主優待（最低単元数）</t>
    <rPh sb="0" eb="2">
      <t>カブヌシ</t>
    </rPh>
    <rPh sb="2" eb="4">
      <t>ユウタイ</t>
    </rPh>
    <rPh sb="5" eb="7">
      <t>サイテイ</t>
    </rPh>
    <rPh sb="7" eb="9">
      <t>タンゲン</t>
    </rPh>
    <rPh sb="9" eb="10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</si>
</sst>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%"/>
  </numFmts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0"/>
      <name val="Yu Gothic"/>
      <family val="2"/>
      <scheme val="minor"/>
    </font>
    <font>
      <u/>
      <sz val="11"/>
      <color theme="1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</cellStyleXfs>
  <cellXfs count="9">
    <xf numFmtId="0" fontId="0" fillId="0" borderId="0" xfId="0"/>
    <xf numFmtId="56" fontId="0" fillId="0" borderId="0" xfId="0" applyNumberFormat="1"/>
    <xf numFmtId="0" fontId="3" fillId="2" borderId="1" xfId="0" applyFont="1" applyFill="1" applyBorder="1"/>
    <xf numFmtId="38" fontId="0" fillId="0" borderId="0" xfId="1" applyFont="1" applyAlignment="1"/>
    <xf numFmtId="176" fontId="0" fillId="0" borderId="0" xfId="1" applyNumberFormat="1" applyFont="1" applyAlignment="1"/>
    <xf numFmtId="177" fontId="0" fillId="0" borderId="0" xfId="2" applyNumberFormat="1" applyFont="1" applyAlignment="1"/>
    <xf numFmtId="0" fontId="4" fillId="0" borderId="0" xfId="3"/>
    <xf numFmtId="0" fontId="0" fillId="3" borderId="0" xfId="0" applyFill="1"/>
    <xf numFmtId="0" fontId="0" fillId="0" borderId="0" xfId="0" applyFill="1"/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77" formatCode="0.0%"/>
    </dxf>
    <dxf>
      <numFmt numFmtId="177" formatCode="0.0%"/>
    </dxf>
    <dxf>
      <numFmt numFmtId="176" formatCode="#,##0.0;[Red]\-#,##0.0"/>
    </dxf>
    <dxf>
      <numFmt numFmtId="177" formatCode="0.0%"/>
    </dxf>
    <dxf>
      <numFmt numFmtId="177" formatCode="0.0%"/>
    </dxf>
    <dxf>
      <numFmt numFmtId="177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family val="2"/>
        <scheme val="minor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2A6EF4-CDF6-4169-B933-81A08DE67B70}" name="テーブル1" displayName="テーブル1" ref="C3:X42" totalsRowShown="0" headerRowCellStyle="標準" dataCellStyle="標準">
  <autoFilter ref="C3:X42" xr:uid="{D52C17F7-FE26-4027-96F9-2DA750713FC7}"/>
  <tableColumns count="22">
    <tableColumn id="1" xr3:uid="{20297570-5E68-4BA4-BE2F-66AA7D9B497F}" name="優待月" dataCellStyle="標準"/>
    <tableColumn id="21" xr3:uid="{383528BD-8577-4D0A-BB7A-8314024313BE}" name="コード2" dataCellStyle="標準"/>
    <tableColumn id="2" xr3:uid="{9C39DC2C-9E30-45D9-B1C2-0F6E77DBEC36}" name="名称" dataCellStyle="標準"/>
    <tableColumn id="23" xr3:uid="{80AC684D-299D-42C0-8F72-F5D91ACCC826}" name="株主優待（最低単元数）"/>
    <tableColumn id="14" xr3:uid="{12258572-1121-47CD-A752-7C172EEF90AE}" name="株価" dataDxfId="9" dataCellStyle="桁区切り"/>
    <tableColumn id="3" xr3:uid="{AE6B2FE2-7EA7-4D2E-BF9C-2ABA8D0B38C0}" name="配当利回り" dataDxfId="8" dataCellStyle="パーセント"/>
    <tableColumn id="4" xr3:uid="{FE71A160-FE05-49B3-B170-7845F1E4677E}" name="1株配当" dataCellStyle="標準"/>
    <tableColumn id="19" xr3:uid="{8698682A-3CF0-4161-92E8-58E34DFE0CCE}" name="配当性向" dataDxfId="7" dataCellStyle="パーセント">
      <calculatedColumnFormula>テーブル1[[#This Row],[配当利回り]]*テーブル1[[#This Row],[PER]]</calculatedColumnFormula>
    </tableColumn>
    <tableColumn id="20" xr3:uid="{F746C502-A3B0-4C9B-92EA-1EBCAEA1FCC2}" name="DOE" dataDxfId="6" dataCellStyle="パーセント">
      <calculatedColumnFormula>テーブル1[[#This Row],[配当性向]]*テーブル1[[#This Row],[ROE]]</calculatedColumnFormula>
    </tableColumn>
    <tableColumn id="5" xr3:uid="{478EB90E-52A2-413E-9201-19384DEA04D1}" name="PER" dataCellStyle="標準"/>
    <tableColumn id="6" xr3:uid="{283E5CFF-4AE7-4C12-9507-DE0D9DA8E34C}" name="PBR" dataCellStyle="標準"/>
    <tableColumn id="18" xr3:uid="{5F4F3B35-41BD-4BFF-A70D-8C0512640D28}" name="ミックス係数（PER×PBR）" dataDxfId="5" dataCellStyle="桁区切り">
      <calculatedColumnFormula>テーブル1[[#This Row],[PER]]*テーブル1[[#This Row],[PBR]]</calculatedColumnFormula>
    </tableColumn>
    <tableColumn id="7" xr3:uid="{0C787DD4-F9EA-41A9-A99E-4066747F3D4D}" name="EPS" dataCellStyle="標準"/>
    <tableColumn id="8" xr3:uid="{B920B859-47FC-4993-8CAC-5596A855B353}" name="BPS" dataCellStyle="標準"/>
    <tableColumn id="9" xr3:uid="{0B295326-1802-4278-9914-CE9255FD51EF}" name="ROE" dataDxfId="4" dataCellStyle="パーセント"/>
    <tableColumn id="10" xr3:uid="{27119631-D8B1-451B-937D-0B3F8EE06086}" name="総資産経常利益率" dataDxfId="3" dataCellStyle="パーセント"/>
    <tableColumn id="11" xr3:uid="{29EEF785-BD9A-41FC-8C00-EDCAA6CABAD5}" name="売上高" dataCellStyle="桁区切り"/>
    <tableColumn id="12" xr3:uid="{45202930-A6A5-434A-AC28-8376FE841519}" name="営業利益" dataCellStyle="桁区切り"/>
    <tableColumn id="13" xr3:uid="{BAB8BBFF-624D-474A-98DC-FB3D281FF9E5}" name="決算期" dataCellStyle="標準"/>
    <tableColumn id="15" xr3:uid="{E4113751-D5DD-4FA6-AFFC-0CB046ED00E2}" name="時価総額（百万円）" dataCellStyle="桁区切り"/>
    <tableColumn id="16" xr3:uid="{778BED1E-029D-4F52-A212-CB7E34867868}" name="市場" dataCellStyle="標準"/>
    <tableColumn id="17" xr3:uid="{1BDEB28B-8CA5-46A1-9D83-EB10CDDA4A81}" name="保有数" dataCellStyle="標準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2"/>
  <sheetViews>
    <sheetView tabSelected="1" zoomScaleNormal="100" workbookViewId="0">
      <pane xSplit="5" ySplit="3" topLeftCell="F19" activePane="bottomRight" state="frozen"/>
      <selection pane="topRight" activeCell="D1" sqref="D1"/>
      <selection pane="bottomLeft" activeCell="A4" sqref="A4"/>
      <selection pane="bottomRight" activeCell="F41" sqref="F41"/>
    </sheetView>
  </sheetViews>
  <sheetFormatPr defaultRowHeight="18.75"/>
  <cols>
    <col min="1" max="1" width="41.75" bestFit="1" customWidth="1"/>
    <col min="3" max="3" width="12.625" customWidth="1"/>
    <col min="5" max="5" width="33" customWidth="1"/>
    <col min="6" max="6" width="42.125" bestFit="1" customWidth="1"/>
    <col min="7" max="7" width="9" style="3"/>
    <col min="8" max="8" width="12.125" style="5" customWidth="1"/>
    <col min="9" max="9" width="9.375" customWidth="1"/>
    <col min="10" max="11" width="9.375" style="5" customWidth="1"/>
    <col min="14" max="14" width="9.375" style="4" bestFit="1" customWidth="1"/>
    <col min="17" max="17" width="9" style="5"/>
    <col min="18" max="18" width="17.75" style="5" customWidth="1"/>
    <col min="19" max="19" width="9" style="3"/>
    <col min="20" max="20" width="10.25" style="3" customWidth="1"/>
    <col min="21" max="21" width="14" bestFit="1" customWidth="1"/>
    <col min="22" max="22" width="9" style="3"/>
    <col min="23" max="23" width="10.25" customWidth="1"/>
  </cols>
  <sheetData>
    <row r="1" spans="1:24">
      <c r="A1" t="s">
        <v>58</v>
      </c>
    </row>
    <row r="3" spans="1:24">
      <c r="A3" s="2" t="s">
        <v>79</v>
      </c>
      <c r="C3" t="s">
        <v>77</v>
      </c>
      <c r="D3" t="s">
        <v>76</v>
      </c>
      <c r="E3" t="s">
        <v>0</v>
      </c>
      <c r="F3" t="s">
        <v>123</v>
      </c>
      <c r="G3" s="3" t="s">
        <v>59</v>
      </c>
      <c r="H3" s="5" t="s">
        <v>1</v>
      </c>
      <c r="I3" t="s">
        <v>2</v>
      </c>
      <c r="J3" s="5" t="s">
        <v>74</v>
      </c>
      <c r="K3" s="5" t="s">
        <v>75</v>
      </c>
      <c r="L3" t="s">
        <v>3</v>
      </c>
      <c r="M3" t="s">
        <v>4</v>
      </c>
      <c r="N3" s="4" t="s">
        <v>73</v>
      </c>
      <c r="O3" t="s">
        <v>5</v>
      </c>
      <c r="P3" t="s">
        <v>6</v>
      </c>
      <c r="Q3" s="5" t="s">
        <v>7</v>
      </c>
      <c r="R3" s="5" t="s">
        <v>8</v>
      </c>
      <c r="S3" s="3" t="s">
        <v>9</v>
      </c>
      <c r="T3" s="3" t="s">
        <v>10</v>
      </c>
      <c r="U3" t="s">
        <v>11</v>
      </c>
      <c r="V3" s="3" t="s">
        <v>61</v>
      </c>
      <c r="W3" t="s">
        <v>12</v>
      </c>
      <c r="X3" t="s">
        <v>13</v>
      </c>
    </row>
    <row r="4" spans="1:24">
      <c r="A4" s="6" t="str">
        <f>HYPERLINK("https://takasho.premium-yutaiclub.jp/mainte/",テーブル1[[#This Row],[名称]])</f>
        <v>(株)タカショー</v>
      </c>
      <c r="C4" s="1">
        <v>43850</v>
      </c>
      <c r="D4">
        <v>7590</v>
      </c>
      <c r="E4" t="s">
        <v>14</v>
      </c>
      <c r="F4" t="s">
        <v>109</v>
      </c>
      <c r="G4" s="3">
        <v>491</v>
      </c>
      <c r="H4" s="5">
        <v>2.0400000000000001E-2</v>
      </c>
      <c r="I4">
        <v>10</v>
      </c>
      <c r="J4" s="5">
        <f>テーブル1[[#This Row],[配当利回り]]*テーブル1[[#This Row],[PER]]</f>
        <v>0.39249600000000001</v>
      </c>
      <c r="K4" s="5">
        <f>テーブル1[[#This Row],[配当性向]]*テーブル1[[#This Row],[ROE]]</f>
        <v>1.6602580799999999E-2</v>
      </c>
      <c r="L4">
        <v>19.239999999999998</v>
      </c>
      <c r="M4">
        <v>0.84</v>
      </c>
      <c r="N4" s="4">
        <f>テーブル1[[#This Row],[PER]]*テーブル1[[#This Row],[PBR]]</f>
        <v>16.161599999999996</v>
      </c>
      <c r="O4">
        <v>25.04</v>
      </c>
      <c r="P4">
        <v>583.80999999999995</v>
      </c>
      <c r="Q4" s="5">
        <v>4.2299999999999997E-2</v>
      </c>
      <c r="R4" s="5">
        <v>1.8100000000000002E-2</v>
      </c>
      <c r="S4" s="3">
        <v>17759</v>
      </c>
      <c r="T4" s="3">
        <v>514</v>
      </c>
      <c r="U4" t="s">
        <v>62</v>
      </c>
      <c r="V4" s="3">
        <v>7208</v>
      </c>
      <c r="W4" t="s">
        <v>15</v>
      </c>
      <c r="X4" t="s">
        <v>16</v>
      </c>
    </row>
    <row r="5" spans="1:24">
      <c r="A5" s="6" t="str">
        <f>HYPERLINK("https://usen-next.premium-yutaiclub.jp/pre/",テーブル1[[#This Row],[名称]])</f>
        <v>(株)ＵＳＥＮ−ＮＥＸＴ　ＨＯＬＤＩＮＧＳ</v>
      </c>
      <c r="C5" t="s">
        <v>80</v>
      </c>
      <c r="D5">
        <v>9418</v>
      </c>
      <c r="E5" t="s">
        <v>17</v>
      </c>
      <c r="F5" t="s">
        <v>122</v>
      </c>
      <c r="G5" s="3">
        <v>1794</v>
      </c>
      <c r="H5" s="5">
        <v>4.4999999999999997E-3</v>
      </c>
      <c r="I5">
        <v>8</v>
      </c>
      <c r="J5" s="5">
        <f>テーブル1[[#This Row],[配当利回り]]*テーブル1[[#This Row],[PER]]</f>
        <v>0.14692499999999997</v>
      </c>
      <c r="K5" s="5">
        <f>テーブル1[[#This Row],[配当性向]]*テーブル1[[#This Row],[ROE]]</f>
        <v>4.9425569999999988E-2</v>
      </c>
      <c r="L5">
        <v>32.65</v>
      </c>
      <c r="M5">
        <v>4.84</v>
      </c>
      <c r="N5" s="4">
        <f>テーブル1[[#This Row],[PER]]*テーブル1[[#This Row],[PBR]]</f>
        <v>158.02599999999998</v>
      </c>
      <c r="O5">
        <v>101.05</v>
      </c>
      <c r="P5">
        <v>370.45</v>
      </c>
      <c r="Q5" s="5">
        <v>0.33639999999999998</v>
      </c>
      <c r="R5" s="5">
        <v>0.05</v>
      </c>
      <c r="S5" s="3">
        <v>175769</v>
      </c>
      <c r="T5" s="3">
        <v>8239</v>
      </c>
      <c r="U5" t="s">
        <v>63</v>
      </c>
      <c r="V5" s="3">
        <v>107756</v>
      </c>
      <c r="W5" t="s">
        <v>15</v>
      </c>
      <c r="X5" t="s">
        <v>16</v>
      </c>
    </row>
    <row r="6" spans="1:24">
      <c r="A6" s="6" t="str">
        <f>HYPERLINK("https://azplan.premium-yutaiclub.jp/",テーブル1[[#This Row],[名称]])</f>
        <v>(株)アズ企画設計</v>
      </c>
      <c r="C6" t="s">
        <v>80</v>
      </c>
      <c r="D6">
        <v>3490</v>
      </c>
      <c r="E6" t="s">
        <v>18</v>
      </c>
      <c r="F6" t="s">
        <v>95</v>
      </c>
      <c r="G6" s="3">
        <v>1476</v>
      </c>
      <c r="H6" s="5" t="s">
        <v>19</v>
      </c>
      <c r="I6" t="s">
        <v>60</v>
      </c>
      <c r="J6" s="5" t="e">
        <f>テーブル1[[#This Row],[配当利回り]]*テーブル1[[#This Row],[PER]]</f>
        <v>#VALUE!</v>
      </c>
      <c r="K6" s="5" t="e">
        <f>テーブル1[[#This Row],[配当性向]]*テーブル1[[#This Row],[ROE]]</f>
        <v>#VALUE!</v>
      </c>
      <c r="L6">
        <v>9.68</v>
      </c>
      <c r="M6">
        <v>1.04</v>
      </c>
      <c r="N6" s="4">
        <f>テーブル1[[#This Row],[PER]]*テーブル1[[#This Row],[PBR]]</f>
        <v>10.0672</v>
      </c>
      <c r="O6">
        <v>215.68</v>
      </c>
      <c r="P6">
        <v>1415.42</v>
      </c>
      <c r="Q6" s="5">
        <v>0.1731</v>
      </c>
      <c r="R6" s="5">
        <v>4.2299999999999997E-2</v>
      </c>
      <c r="S6" s="3">
        <v>5296</v>
      </c>
      <c r="T6" s="3">
        <v>293</v>
      </c>
      <c r="U6" t="s">
        <v>64</v>
      </c>
      <c r="V6" s="3">
        <v>1404</v>
      </c>
      <c r="W6" t="s">
        <v>20</v>
      </c>
      <c r="X6" t="s">
        <v>16</v>
      </c>
    </row>
    <row r="7" spans="1:24">
      <c r="A7" s="6" t="str">
        <f>HYPERLINK("https://puequ.premium-yutaiclub.jp/",テーブル1[[#This Row],[名称]])</f>
        <v>ポエック(株)</v>
      </c>
      <c r="C7" t="s">
        <v>80</v>
      </c>
      <c r="D7">
        <v>9264</v>
      </c>
      <c r="E7" t="s">
        <v>21</v>
      </c>
      <c r="F7" t="s">
        <v>121</v>
      </c>
      <c r="G7" s="3">
        <v>2546</v>
      </c>
      <c r="H7" s="5">
        <v>1.37E-2</v>
      </c>
      <c r="I7">
        <v>35</v>
      </c>
      <c r="J7" s="5">
        <f>テーブル1[[#This Row],[配当利回り]]*テーブル1[[#This Row],[PER]]</f>
        <v>0.48360999999999998</v>
      </c>
      <c r="K7" s="5">
        <f>テーブル1[[#This Row],[配当性向]]*テーブル1[[#This Row],[ROE]]</f>
        <v>4.7103614000000002E-2</v>
      </c>
      <c r="L7">
        <v>35.299999999999997</v>
      </c>
      <c r="M7">
        <v>3.25</v>
      </c>
      <c r="N7" s="4">
        <f>テーブル1[[#This Row],[PER]]*テーブル1[[#This Row],[PBR]]</f>
        <v>114.72499999999999</v>
      </c>
      <c r="O7">
        <v>73.8</v>
      </c>
      <c r="P7">
        <v>783.02</v>
      </c>
      <c r="Q7" s="5">
        <v>9.74E-2</v>
      </c>
      <c r="R7" s="5">
        <v>2.53E-2</v>
      </c>
      <c r="S7" s="3">
        <v>5641</v>
      </c>
      <c r="T7" s="3">
        <v>207</v>
      </c>
      <c r="U7" t="s">
        <v>63</v>
      </c>
      <c r="V7" s="3">
        <v>5226</v>
      </c>
      <c r="W7" t="s">
        <v>20</v>
      </c>
      <c r="X7" t="s">
        <v>16</v>
      </c>
    </row>
    <row r="8" spans="1:24">
      <c r="A8" s="6" t="str">
        <f>HYPERLINK("https://vectorinc.premium-yutaiclub.jp/",テーブル1[[#This Row],[名称]])</f>
        <v>(株)ベクトル</v>
      </c>
      <c r="C8" t="s">
        <v>80</v>
      </c>
      <c r="D8">
        <v>6058</v>
      </c>
      <c r="E8" t="s">
        <v>22</v>
      </c>
      <c r="F8" t="s">
        <v>120</v>
      </c>
      <c r="G8" s="3">
        <v>1166</v>
      </c>
      <c r="H8" s="5" t="s">
        <v>19</v>
      </c>
      <c r="I8" t="s">
        <v>60</v>
      </c>
      <c r="J8" s="5" t="e">
        <f>テーブル1[[#This Row],[配当利回り]]*テーブル1[[#This Row],[PER]]</f>
        <v>#VALUE!</v>
      </c>
      <c r="K8" s="5" t="e">
        <f>テーブル1[[#This Row],[配当性向]]*テーブル1[[#This Row],[ROE]]</f>
        <v>#VALUE!</v>
      </c>
      <c r="L8" t="s">
        <v>60</v>
      </c>
      <c r="M8">
        <v>5.32</v>
      </c>
      <c r="N8" s="4" t="e">
        <f>テーブル1[[#This Row],[PER]]*テーブル1[[#This Row],[PBR]]</f>
        <v>#VALUE!</v>
      </c>
      <c r="O8" t="s">
        <v>60</v>
      </c>
      <c r="P8">
        <v>218.99</v>
      </c>
      <c r="Q8" s="5">
        <v>2.7000000000000001E-3</v>
      </c>
      <c r="R8" s="5">
        <v>0.1326</v>
      </c>
      <c r="S8" s="3">
        <v>30141</v>
      </c>
      <c r="T8" s="3">
        <v>2857</v>
      </c>
      <c r="U8" t="s">
        <v>64</v>
      </c>
      <c r="V8" s="3">
        <v>55893</v>
      </c>
      <c r="W8" t="s">
        <v>15</v>
      </c>
      <c r="X8" t="s">
        <v>16</v>
      </c>
    </row>
    <row r="9" spans="1:24">
      <c r="A9" s="6" t="str">
        <f>HYPERLINK("https://jkhd.premium-yutaiclub.jp/pre/",テーブル1[[#This Row],[名称]])</f>
        <v>ＪＫホールディングス(株)</v>
      </c>
      <c r="C9" t="s">
        <v>81</v>
      </c>
      <c r="D9">
        <v>9896</v>
      </c>
      <c r="E9" t="s">
        <v>78</v>
      </c>
      <c r="F9" t="s">
        <v>119</v>
      </c>
      <c r="G9" s="3">
        <v>717</v>
      </c>
      <c r="H9" s="5">
        <v>2.6499999999999999E-2</v>
      </c>
      <c r="I9">
        <v>19</v>
      </c>
      <c r="J9" s="5">
        <f>テーブル1[[#This Row],[配当利回り]]*テーブル1[[#This Row],[PER]]</f>
        <v>0.22525000000000001</v>
      </c>
      <c r="K9" s="5">
        <f>テーブル1[[#This Row],[配当性向]]*テーブル1[[#This Row],[ROE]]</f>
        <v>1.2231075000000001E-2</v>
      </c>
      <c r="L9">
        <v>8.5</v>
      </c>
      <c r="M9">
        <v>0.55000000000000004</v>
      </c>
      <c r="N9" s="4">
        <f>テーブル1[[#This Row],[PER]]*テーブル1[[#This Row],[PBR]]</f>
        <v>4.6750000000000007</v>
      </c>
      <c r="O9">
        <v>68.760000000000005</v>
      </c>
      <c r="P9">
        <v>1306.97</v>
      </c>
      <c r="Q9" s="5">
        <v>5.4300000000000001E-2</v>
      </c>
      <c r="R9" s="5">
        <v>2.2200000000000001E-2</v>
      </c>
      <c r="S9" s="3">
        <v>358935</v>
      </c>
      <c r="T9" s="3">
        <v>4976</v>
      </c>
      <c r="U9" t="s">
        <v>65</v>
      </c>
      <c r="V9" s="3">
        <v>22829</v>
      </c>
      <c r="W9" t="s">
        <v>15</v>
      </c>
      <c r="X9" t="s">
        <v>16</v>
      </c>
    </row>
    <row r="10" spans="1:24">
      <c r="A10" s="6" t="str">
        <f>HYPERLINK("https://minkabu.premium-yutaiclub.jp/pre/",テーブル1[[#This Row],[名称]])</f>
        <v>(株)ミンカブ・ジ・インフォノイド</v>
      </c>
      <c r="C10" s="7" t="s">
        <v>82</v>
      </c>
      <c r="D10">
        <v>4436</v>
      </c>
      <c r="E10" t="s">
        <v>23</v>
      </c>
      <c r="F10" t="s">
        <v>118</v>
      </c>
      <c r="G10" s="3">
        <v>1332</v>
      </c>
      <c r="H10" s="5" t="s">
        <v>19</v>
      </c>
      <c r="I10" t="s">
        <v>60</v>
      </c>
      <c r="J10" s="5" t="e">
        <f>テーブル1[[#This Row],[配当利回り]]*テーブル1[[#This Row],[PER]]</f>
        <v>#VALUE!</v>
      </c>
      <c r="K10" s="5" t="e">
        <f>テーブル1[[#This Row],[配当性向]]*テーブル1[[#This Row],[ROE]]</f>
        <v>#VALUE!</v>
      </c>
      <c r="L10">
        <v>46.72</v>
      </c>
      <c r="M10">
        <v>6.23</v>
      </c>
      <c r="N10" s="4">
        <f>テーブル1[[#This Row],[PER]]*テーブル1[[#This Row],[PBR]]</f>
        <v>291.06560000000002</v>
      </c>
      <c r="O10">
        <v>22.04</v>
      </c>
      <c r="P10">
        <v>213.83</v>
      </c>
      <c r="Q10" s="5">
        <v>0.1404</v>
      </c>
      <c r="R10" s="5">
        <v>7.0400000000000004E-2</v>
      </c>
      <c r="S10" s="3">
        <v>2032</v>
      </c>
      <c r="T10" s="3">
        <v>256</v>
      </c>
      <c r="U10" t="s">
        <v>65</v>
      </c>
      <c r="V10" s="3">
        <v>17289</v>
      </c>
      <c r="W10" t="s">
        <v>24</v>
      </c>
      <c r="X10" t="s">
        <v>16</v>
      </c>
    </row>
    <row r="11" spans="1:24">
      <c r="A11" s="6" t="str">
        <f>HYPERLINK("https://azia.premium-yutaiclub.jp/",テーブル1[[#This Row],[名称]])</f>
        <v>(株)エイジア</v>
      </c>
      <c r="C11" s="7" t="s">
        <v>82</v>
      </c>
      <c r="D11">
        <v>2352</v>
      </c>
      <c r="E11" t="s">
        <v>25</v>
      </c>
      <c r="F11" t="s">
        <v>105</v>
      </c>
      <c r="G11" s="3">
        <v>1445</v>
      </c>
      <c r="H11" s="5">
        <v>1.5900000000000001E-2</v>
      </c>
      <c r="I11">
        <v>23</v>
      </c>
      <c r="J11" s="5">
        <f>テーブル1[[#This Row],[配当利回り]]*テーブル1[[#This Row],[PER]]</f>
        <v>0.30321300000000001</v>
      </c>
      <c r="K11" s="5">
        <f>テーブル1[[#This Row],[配当性向]]*テーブル1[[#This Row],[ROE]]</f>
        <v>2.74710978E-2</v>
      </c>
      <c r="L11">
        <v>19.07</v>
      </c>
      <c r="M11">
        <v>4.1100000000000003</v>
      </c>
      <c r="N11" s="4">
        <f>テーブル1[[#This Row],[PER]]*テーブル1[[#This Row],[PBR]]</f>
        <v>78.377700000000004</v>
      </c>
      <c r="O11">
        <v>32.29</v>
      </c>
      <c r="P11">
        <v>351.32</v>
      </c>
      <c r="Q11" s="5">
        <v>9.06E-2</v>
      </c>
      <c r="R11" s="5">
        <v>0.20910000000000001</v>
      </c>
      <c r="S11" s="3">
        <v>1703</v>
      </c>
      <c r="T11" s="3">
        <v>371</v>
      </c>
      <c r="U11" t="s">
        <v>65</v>
      </c>
      <c r="V11" s="3">
        <v>6376</v>
      </c>
      <c r="W11" t="s">
        <v>15</v>
      </c>
      <c r="X11" t="s">
        <v>16</v>
      </c>
    </row>
    <row r="12" spans="1:24">
      <c r="A12" s="6" t="str">
        <f>HYPERLINK("https://dreamincubator.premium-yutaiclub.jp/",テーブル1[[#This Row],[名称]])</f>
        <v>(株)ドリームインキュベータ</v>
      </c>
      <c r="C12" t="s">
        <v>81</v>
      </c>
      <c r="D12">
        <v>4310</v>
      </c>
      <c r="E12" t="s">
        <v>26</v>
      </c>
      <c r="F12" t="s">
        <v>117</v>
      </c>
      <c r="G12" s="3">
        <v>1579</v>
      </c>
      <c r="H12" s="5" t="s">
        <v>19</v>
      </c>
      <c r="I12" t="s">
        <v>60</v>
      </c>
      <c r="J12" s="5" t="e">
        <f>テーブル1[[#This Row],[配当利回り]]*テーブル1[[#This Row],[PER]]</f>
        <v>#VALUE!</v>
      </c>
      <c r="K12" s="5" t="e">
        <f>テーブル1[[#This Row],[配当性向]]*テーブル1[[#This Row],[ROE]]</f>
        <v>#VALUE!</v>
      </c>
      <c r="L12" t="s">
        <v>60</v>
      </c>
      <c r="M12">
        <v>1.42</v>
      </c>
      <c r="N12" s="4" t="e">
        <f>テーブル1[[#This Row],[PER]]*テーブル1[[#This Row],[PBR]]</f>
        <v>#VALUE!</v>
      </c>
      <c r="O12" t="s">
        <v>60</v>
      </c>
      <c r="P12">
        <v>1111.23</v>
      </c>
      <c r="Q12" s="5">
        <v>3.4700000000000002E-2</v>
      </c>
      <c r="R12" s="5">
        <v>1.26E-2</v>
      </c>
      <c r="S12" s="3">
        <v>20705</v>
      </c>
      <c r="T12" s="3">
        <v>124</v>
      </c>
      <c r="U12" t="s">
        <v>65</v>
      </c>
      <c r="V12" s="3">
        <v>16387</v>
      </c>
      <c r="W12" t="s">
        <v>15</v>
      </c>
      <c r="X12" t="s">
        <v>16</v>
      </c>
    </row>
    <row r="13" spans="1:24">
      <c r="A13" s="6" t="str">
        <f>HYPERLINK("https://ipet-ins.premium-yutaiclub.jp/",テーブル1[[#This Row],[名称]])</f>
        <v>アイペット損害保険(株)</v>
      </c>
      <c r="C13" s="7" t="s">
        <v>82</v>
      </c>
      <c r="D13">
        <v>7323</v>
      </c>
      <c r="E13" t="s">
        <v>27</v>
      </c>
      <c r="F13" t="s">
        <v>106</v>
      </c>
      <c r="G13" s="3">
        <v>1979</v>
      </c>
      <c r="H13" s="5" t="s">
        <v>19</v>
      </c>
      <c r="I13" t="s">
        <v>60</v>
      </c>
      <c r="J13" s="5" t="e">
        <f>テーブル1[[#This Row],[配当利回り]]*テーブル1[[#This Row],[PER]]</f>
        <v>#VALUE!</v>
      </c>
      <c r="K13" s="5" t="e">
        <f>テーブル1[[#This Row],[配当性向]]*テーブル1[[#This Row],[ROE]]</f>
        <v>#VALUE!</v>
      </c>
      <c r="L13" t="s">
        <v>60</v>
      </c>
      <c r="M13">
        <v>3.83</v>
      </c>
      <c r="N13" s="4" t="e">
        <f>テーブル1[[#This Row],[PER]]*テーブル1[[#This Row],[PBR]]</f>
        <v>#VALUE!</v>
      </c>
      <c r="O13" t="s">
        <v>60</v>
      </c>
      <c r="P13">
        <v>516.21</v>
      </c>
      <c r="Q13" s="5">
        <v>0.20660000000000001</v>
      </c>
      <c r="R13" s="5">
        <v>2.5999999999999999E-2</v>
      </c>
      <c r="S13" s="3">
        <v>14941</v>
      </c>
      <c r="T13" s="3" t="s">
        <v>72</v>
      </c>
      <c r="U13" t="s">
        <v>65</v>
      </c>
      <c r="V13" s="3">
        <v>21276</v>
      </c>
      <c r="W13" t="s">
        <v>24</v>
      </c>
      <c r="X13" t="s">
        <v>16</v>
      </c>
    </row>
    <row r="14" spans="1:24">
      <c r="A14" s="6" t="str">
        <f>HYPERLINK("https://furyu.premium-yutaiclub.jp/",テーブル1[[#This Row],[名称]])</f>
        <v>フリュー(株)</v>
      </c>
      <c r="C14" t="s">
        <v>81</v>
      </c>
      <c r="D14">
        <v>6238</v>
      </c>
      <c r="E14" t="s">
        <v>28</v>
      </c>
      <c r="F14" t="s">
        <v>111</v>
      </c>
      <c r="G14" s="3">
        <v>1191</v>
      </c>
      <c r="H14" s="5">
        <v>2.52E-2</v>
      </c>
      <c r="I14">
        <v>30</v>
      </c>
      <c r="J14" s="5">
        <f>テーブル1[[#This Row],[配当利回り]]*テーブル1[[#This Row],[PER]]</f>
        <v>0.35128799999999999</v>
      </c>
      <c r="K14" s="5">
        <f>テーブル1[[#This Row],[配当性向]]*テーブル1[[#This Row],[ROE]]</f>
        <v>3.79742328E-2</v>
      </c>
      <c r="L14">
        <v>13.94</v>
      </c>
      <c r="M14">
        <v>1.85</v>
      </c>
      <c r="N14" s="4">
        <f>テーブル1[[#This Row],[PER]]*テーブル1[[#This Row],[PBR]]</f>
        <v>25.789000000000001</v>
      </c>
      <c r="O14">
        <v>66.53</v>
      </c>
      <c r="P14">
        <v>644.32000000000005</v>
      </c>
      <c r="Q14" s="5">
        <v>0.1081</v>
      </c>
      <c r="R14" s="5">
        <v>0.14749999999999999</v>
      </c>
      <c r="S14" s="3">
        <v>27134</v>
      </c>
      <c r="T14" s="3">
        <v>3543</v>
      </c>
      <c r="U14" t="s">
        <v>65</v>
      </c>
      <c r="V14" s="3">
        <v>33701</v>
      </c>
      <c r="W14" t="s">
        <v>15</v>
      </c>
      <c r="X14" t="s">
        <v>16</v>
      </c>
    </row>
    <row r="15" spans="1:24">
      <c r="A15" s="6" t="str">
        <f>HYPERLINK("https://forlifeand.premium-yutaiclub.jp/",テーブル1[[#This Row],[名称]])</f>
        <v>フォーライフ(株)</v>
      </c>
      <c r="C15" t="s">
        <v>81</v>
      </c>
      <c r="D15">
        <v>3477</v>
      </c>
      <c r="E15" t="s">
        <v>29</v>
      </c>
      <c r="F15" t="s">
        <v>116</v>
      </c>
      <c r="G15" s="3">
        <v>1171</v>
      </c>
      <c r="H15" s="5">
        <v>2.5600000000000001E-2</v>
      </c>
      <c r="I15">
        <v>30</v>
      </c>
      <c r="J15" s="5">
        <f>テーブル1[[#This Row],[配当利回り]]*テーブル1[[#This Row],[PER]]</f>
        <v>0.24985599999999999</v>
      </c>
      <c r="K15" s="5">
        <f>テーブル1[[#This Row],[配当性向]]*テーブル1[[#This Row],[ROE]]</f>
        <v>1.4566604799999999E-2</v>
      </c>
      <c r="L15">
        <v>9.76</v>
      </c>
      <c r="M15">
        <v>0.97</v>
      </c>
      <c r="N15" s="4">
        <f>テーブル1[[#This Row],[PER]]*テーブル1[[#This Row],[PBR]]</f>
        <v>9.4672000000000001</v>
      </c>
      <c r="O15">
        <v>68.47</v>
      </c>
      <c r="P15">
        <v>1209.69</v>
      </c>
      <c r="Q15" s="5">
        <v>5.8299999999999998E-2</v>
      </c>
      <c r="R15" s="5">
        <v>4.8000000000000001E-2</v>
      </c>
      <c r="S15" s="3">
        <v>7977</v>
      </c>
      <c r="T15" s="3">
        <v>243</v>
      </c>
      <c r="U15" t="s">
        <v>65</v>
      </c>
      <c r="V15" s="3">
        <v>2342</v>
      </c>
      <c r="W15" t="s">
        <v>24</v>
      </c>
      <c r="X15" t="s">
        <v>16</v>
      </c>
    </row>
    <row r="16" spans="1:24">
      <c r="A16" s="6" t="str">
        <f>HYPERLINK("https://rand.premium-yutaiclub.jp/",テーブル1[[#This Row],[名称]])</f>
        <v>(株)ランドコンピュータ</v>
      </c>
      <c r="C16" t="s">
        <v>81</v>
      </c>
      <c r="D16">
        <v>3924</v>
      </c>
      <c r="E16" t="s">
        <v>30</v>
      </c>
      <c r="F16" t="s">
        <v>115</v>
      </c>
      <c r="G16" s="3">
        <v>1226</v>
      </c>
      <c r="H16" s="5">
        <v>1.6299999999999999E-2</v>
      </c>
      <c r="I16">
        <v>20</v>
      </c>
      <c r="J16" s="5">
        <f>テーブル1[[#This Row],[配当利回り]]*テーブル1[[#This Row],[PER]]</f>
        <v>0.29910500000000001</v>
      </c>
      <c r="K16" s="5">
        <f>テーブル1[[#This Row],[配当性向]]*テーブル1[[#This Row],[ROE]]</f>
        <v>3.6251525999999999E-2</v>
      </c>
      <c r="L16">
        <v>18.350000000000001</v>
      </c>
      <c r="M16">
        <v>2.1800000000000002</v>
      </c>
      <c r="N16" s="4">
        <f>テーブル1[[#This Row],[PER]]*テーブル1[[#This Row],[PBR]]</f>
        <v>40.003000000000007</v>
      </c>
      <c r="O16">
        <v>63.26</v>
      </c>
      <c r="P16">
        <v>562.05999999999995</v>
      </c>
      <c r="Q16" s="5">
        <v>0.1212</v>
      </c>
      <c r="R16" s="5">
        <v>0.1226</v>
      </c>
      <c r="S16" s="3">
        <v>8056</v>
      </c>
      <c r="T16" s="3">
        <v>585</v>
      </c>
      <c r="U16" t="s">
        <v>65</v>
      </c>
      <c r="V16" s="3">
        <v>7340</v>
      </c>
      <c r="W16" t="s">
        <v>15</v>
      </c>
      <c r="X16" t="s">
        <v>16</v>
      </c>
    </row>
    <row r="17" spans="1:24">
      <c r="A17" s="6" t="str">
        <f>HYPERLINK("https://focus-s.premium-yutaiclub.jp/",テーブル1[[#This Row],[名称]])</f>
        <v>(株)フォーカスシステムズ</v>
      </c>
      <c r="C17" t="s">
        <v>81</v>
      </c>
      <c r="D17">
        <v>4662</v>
      </c>
      <c r="E17" t="s">
        <v>31</v>
      </c>
      <c r="F17" t="s">
        <v>114</v>
      </c>
      <c r="G17" s="3">
        <v>1004</v>
      </c>
      <c r="H17" s="5">
        <v>2.4899999999999999E-2</v>
      </c>
      <c r="I17">
        <v>25</v>
      </c>
      <c r="J17" s="5">
        <f>テーブル1[[#This Row],[配当利回り]]*テーブル1[[#This Row],[PER]]</f>
        <v>0.40437599999999996</v>
      </c>
      <c r="K17" s="5">
        <f>テーブル1[[#This Row],[配当性向]]*テーブル1[[#This Row],[ROE]]</f>
        <v>3.8617907999999999E-2</v>
      </c>
      <c r="L17">
        <v>16.239999999999998</v>
      </c>
      <c r="M17">
        <v>1.72</v>
      </c>
      <c r="N17" s="4">
        <f>テーブル1[[#This Row],[PER]]*テーブル1[[#This Row],[PBR]]</f>
        <v>27.932799999999997</v>
      </c>
      <c r="O17">
        <v>58.11</v>
      </c>
      <c r="P17">
        <v>584.12</v>
      </c>
      <c r="Q17" s="5">
        <v>9.5500000000000002E-2</v>
      </c>
      <c r="R17" s="5">
        <v>8.3299999999999999E-2</v>
      </c>
      <c r="S17" s="3">
        <v>21453</v>
      </c>
      <c r="T17" s="3">
        <v>1368</v>
      </c>
      <c r="U17" t="s">
        <v>65</v>
      </c>
      <c r="V17" s="3">
        <v>16358</v>
      </c>
      <c r="W17" t="s">
        <v>15</v>
      </c>
      <c r="X17" t="s">
        <v>16</v>
      </c>
    </row>
    <row r="18" spans="1:24">
      <c r="A18" s="6" t="str">
        <f>HYPERLINK("https://jmsc.premium-yutaiclub.jp/",テーブル1[[#This Row],[名称]])</f>
        <v>(株)ＭＳ−Ｊａｐａｎ</v>
      </c>
      <c r="C18" s="7" t="s">
        <v>82</v>
      </c>
      <c r="D18">
        <v>6539</v>
      </c>
      <c r="E18" t="s">
        <v>32</v>
      </c>
      <c r="F18" s="8" t="s">
        <v>113</v>
      </c>
      <c r="G18" s="3">
        <v>1538</v>
      </c>
      <c r="H18" s="5">
        <v>9.7999999999999997E-3</v>
      </c>
      <c r="I18">
        <v>15</v>
      </c>
      <c r="J18" s="5">
        <f>テーブル1[[#This Row],[配当利回り]]*テーブル1[[#This Row],[PER]]</f>
        <v>0.26910800000000001</v>
      </c>
      <c r="K18" s="5">
        <f>テーブル1[[#This Row],[配当性向]]*テーブル1[[#This Row],[ROE]]</f>
        <v>4.9273674800000007E-2</v>
      </c>
      <c r="L18">
        <v>27.46</v>
      </c>
      <c r="M18">
        <v>5.29</v>
      </c>
      <c r="N18" s="4">
        <f>テーブル1[[#This Row],[PER]]*テーブル1[[#This Row],[PBR]]</f>
        <v>145.26340000000002</v>
      </c>
      <c r="O18">
        <v>48.17</v>
      </c>
      <c r="P18">
        <v>290.55</v>
      </c>
      <c r="Q18" s="5">
        <v>0.18310000000000001</v>
      </c>
      <c r="R18" s="5">
        <v>0.24349999999999999</v>
      </c>
      <c r="S18" s="3">
        <v>3828</v>
      </c>
      <c r="T18" s="3">
        <v>1690</v>
      </c>
      <c r="U18" t="s">
        <v>65</v>
      </c>
      <c r="V18" s="3">
        <v>38313</v>
      </c>
      <c r="W18" t="s">
        <v>15</v>
      </c>
      <c r="X18" t="s">
        <v>16</v>
      </c>
    </row>
    <row r="19" spans="1:24">
      <c r="A19" s="6" t="str">
        <f>HYPERLINK("https://evolableasia.premium-yutaiclub.jp/",テーブル1[[#This Row],[名称]])</f>
        <v>(株)エアトリ</v>
      </c>
      <c r="C19" s="7" t="s">
        <v>82</v>
      </c>
      <c r="D19">
        <v>6191</v>
      </c>
      <c r="E19" t="s">
        <v>33</v>
      </c>
      <c r="F19" s="8" t="s">
        <v>112</v>
      </c>
      <c r="G19" s="3">
        <v>1918</v>
      </c>
      <c r="H19" s="5">
        <v>6.7999999999999996E-3</v>
      </c>
      <c r="I19">
        <v>13</v>
      </c>
      <c r="J19" s="5">
        <f>テーブル1[[#This Row],[配当利回り]]*テーブル1[[#This Row],[PER]]</f>
        <v>0.19869599999999998</v>
      </c>
      <c r="K19" s="5">
        <f>テーブル1[[#This Row],[配当性向]]*テーブル1[[#This Row],[ROE]]</f>
        <v>1.9670903999999999E-2</v>
      </c>
      <c r="L19">
        <v>29.22</v>
      </c>
      <c r="M19">
        <v>3.92</v>
      </c>
      <c r="N19" s="4">
        <f>テーブル1[[#This Row],[PER]]*テーブル1[[#This Row],[PBR]]</f>
        <v>114.54239999999999</v>
      </c>
      <c r="O19">
        <v>39.07</v>
      </c>
      <c r="P19">
        <v>489.6</v>
      </c>
      <c r="Q19" s="5">
        <v>9.9000000000000005E-2</v>
      </c>
      <c r="R19" s="5">
        <v>2.0899999999999998E-2</v>
      </c>
      <c r="S19" s="3">
        <v>24306</v>
      </c>
      <c r="T19" s="3">
        <v>680</v>
      </c>
      <c r="U19" t="s">
        <v>66</v>
      </c>
      <c r="V19" s="3">
        <v>38510</v>
      </c>
      <c r="W19" t="s">
        <v>15</v>
      </c>
      <c r="X19" t="s">
        <v>16</v>
      </c>
    </row>
    <row r="20" spans="1:24">
      <c r="A20" s="6" t="str">
        <f>HYPERLINK("https://goodcomasset.premium-yutaiclub.jp/",テーブル1[[#This Row],[名称]])</f>
        <v>(株)グッドコムアセット</v>
      </c>
      <c r="C20" s="7" t="s">
        <v>83</v>
      </c>
      <c r="D20">
        <v>3475</v>
      </c>
      <c r="E20" t="s">
        <v>34</v>
      </c>
      <c r="F20" s="7" t="s">
        <v>111</v>
      </c>
      <c r="G20" s="3">
        <v>2039</v>
      </c>
      <c r="H20" s="5">
        <v>2.9899999999999999E-2</v>
      </c>
      <c r="I20">
        <v>61</v>
      </c>
      <c r="J20" s="5">
        <f>テーブル1[[#This Row],[配当利回り]]*テーブル1[[#This Row],[PER]]</f>
        <v>0.29601</v>
      </c>
      <c r="K20" s="5">
        <f>テーブル1[[#This Row],[配当性向]]*テーブル1[[#This Row],[ROE]]</f>
        <v>4.9877685000000005E-2</v>
      </c>
      <c r="L20">
        <v>9.9</v>
      </c>
      <c r="M20">
        <v>2.09</v>
      </c>
      <c r="N20" s="4">
        <f>テーブル1[[#This Row],[PER]]*テーブル1[[#This Row],[PBR]]</f>
        <v>20.690999999999999</v>
      </c>
      <c r="O20">
        <v>157.01</v>
      </c>
      <c r="P20">
        <v>975.37</v>
      </c>
      <c r="Q20" s="5">
        <v>0.16850000000000001</v>
      </c>
      <c r="R20" s="5">
        <v>0.1195</v>
      </c>
      <c r="S20" s="3">
        <v>23376</v>
      </c>
      <c r="T20" s="3">
        <v>1755</v>
      </c>
      <c r="U20" t="s">
        <v>67</v>
      </c>
      <c r="V20" s="3">
        <v>14976</v>
      </c>
      <c r="W20" t="s">
        <v>15</v>
      </c>
      <c r="X20" t="s">
        <v>16</v>
      </c>
    </row>
    <row r="21" spans="1:24">
      <c r="A21" s="6" t="str">
        <f>HYPERLINK("https://fullspeed.premium-yutaiclub.jp/",テーブル1[[#This Row],[名称]])</f>
        <v>(株)フルスピード</v>
      </c>
      <c r="C21" t="s">
        <v>84</v>
      </c>
      <c r="D21">
        <v>2159</v>
      </c>
      <c r="E21" t="s">
        <v>35</v>
      </c>
      <c r="F21" t="s">
        <v>110</v>
      </c>
      <c r="G21" s="3">
        <v>517</v>
      </c>
      <c r="H21" s="5" t="s">
        <v>19</v>
      </c>
      <c r="I21" t="s">
        <v>60</v>
      </c>
      <c r="J21" s="5" t="e">
        <f>テーブル1[[#This Row],[配当利回り]]*テーブル1[[#This Row],[PER]]</f>
        <v>#VALUE!</v>
      </c>
      <c r="K21" s="5" t="e">
        <f>テーブル1[[#This Row],[配当性向]]*テーブル1[[#This Row],[ROE]]</f>
        <v>#VALUE!</v>
      </c>
      <c r="L21">
        <v>10.59</v>
      </c>
      <c r="M21">
        <v>2.0699999999999998</v>
      </c>
      <c r="N21" s="4">
        <f>テーブル1[[#This Row],[PER]]*テーブル1[[#This Row],[PBR]]</f>
        <v>21.921299999999999</v>
      </c>
      <c r="O21">
        <v>36.51</v>
      </c>
      <c r="P21">
        <v>249.37</v>
      </c>
      <c r="Q21" s="5">
        <v>0.16969999999999999</v>
      </c>
      <c r="R21" s="5">
        <v>0.1797</v>
      </c>
      <c r="S21" s="3">
        <v>20566</v>
      </c>
      <c r="T21" s="3">
        <v>1247</v>
      </c>
      <c r="U21" t="s">
        <v>68</v>
      </c>
      <c r="V21" s="3">
        <v>8050</v>
      </c>
      <c r="W21" t="s">
        <v>36</v>
      </c>
      <c r="X21" t="s">
        <v>16</v>
      </c>
    </row>
    <row r="22" spans="1:24">
      <c r="A22" s="6" t="str">
        <f>HYPERLINK("https://freebit.premium-yutaiclub.jp/",テーブル1[[#This Row],[名称]])</f>
        <v>フリービット(株)</v>
      </c>
      <c r="C22" t="s">
        <v>84</v>
      </c>
      <c r="D22">
        <v>3843</v>
      </c>
      <c r="E22" t="s">
        <v>37</v>
      </c>
      <c r="F22" t="s">
        <v>109</v>
      </c>
      <c r="G22" s="3">
        <v>983</v>
      </c>
      <c r="H22" s="5">
        <v>7.1000000000000004E-3</v>
      </c>
      <c r="I22">
        <v>7</v>
      </c>
      <c r="J22" s="5">
        <f>テーブル1[[#This Row],[配当利回り]]*テーブル1[[#This Row],[PER]]</f>
        <v>0.154922</v>
      </c>
      <c r="K22" s="5">
        <f>テーブル1[[#This Row],[配当性向]]*テーブル1[[#This Row],[ROE]]</f>
        <v>4.8335664000000002E-3</v>
      </c>
      <c r="L22">
        <v>21.82</v>
      </c>
      <c r="M22">
        <v>2.52</v>
      </c>
      <c r="N22" s="4">
        <f>テーブル1[[#This Row],[PER]]*テーブル1[[#This Row],[PBR]]</f>
        <v>54.986400000000003</v>
      </c>
      <c r="O22">
        <v>12.59</v>
      </c>
      <c r="P22">
        <v>390.18</v>
      </c>
      <c r="Q22" s="5">
        <v>3.1199999999999999E-2</v>
      </c>
      <c r="R22" s="5">
        <v>7.3400000000000007E-2</v>
      </c>
      <c r="S22" s="3">
        <v>50365</v>
      </c>
      <c r="T22" s="3">
        <v>2981</v>
      </c>
      <c r="U22" t="s">
        <v>68</v>
      </c>
      <c r="V22" s="3">
        <v>23016</v>
      </c>
      <c r="W22" t="s">
        <v>15</v>
      </c>
      <c r="X22" t="s">
        <v>16</v>
      </c>
    </row>
    <row r="23" spans="1:24">
      <c r="A23" s="6" t="str">
        <f>HYPERLINK("https://like.premium-yutaiclub.jp/",テーブル1[[#This Row],[名称]])</f>
        <v>ライク(株)</v>
      </c>
      <c r="C23" s="1" t="s">
        <v>85</v>
      </c>
      <c r="D23">
        <v>2462</v>
      </c>
      <c r="E23" t="s">
        <v>38</v>
      </c>
      <c r="F23" t="s">
        <v>108</v>
      </c>
      <c r="G23" s="3">
        <v>1595</v>
      </c>
      <c r="H23" s="5">
        <v>1.7600000000000001E-2</v>
      </c>
      <c r="I23">
        <v>28</v>
      </c>
      <c r="J23" s="5">
        <f>テーブル1[[#This Row],[配当利回り]]*テーブル1[[#This Row],[PER]]</f>
        <v>0.30412800000000006</v>
      </c>
      <c r="K23" s="5">
        <f>テーブル1[[#This Row],[配当性向]]*テーブル1[[#This Row],[ROE]]</f>
        <v>5.8210099200000011E-2</v>
      </c>
      <c r="L23">
        <v>17.28</v>
      </c>
      <c r="M23">
        <v>3.34</v>
      </c>
      <c r="N23" s="4">
        <f>テーブル1[[#This Row],[PER]]*テーブル1[[#This Row],[PBR]]</f>
        <v>57.715200000000003</v>
      </c>
      <c r="O23">
        <v>84.58</v>
      </c>
      <c r="P23">
        <v>477.98</v>
      </c>
      <c r="Q23" s="5">
        <v>0.19139999999999999</v>
      </c>
      <c r="R23" s="5">
        <v>0.1293</v>
      </c>
      <c r="S23" s="3">
        <v>47797</v>
      </c>
      <c r="T23" s="3">
        <v>1746</v>
      </c>
      <c r="U23" t="s">
        <v>69</v>
      </c>
      <c r="V23" s="3">
        <v>32379</v>
      </c>
      <c r="W23" t="s">
        <v>15</v>
      </c>
      <c r="X23" t="s">
        <v>16</v>
      </c>
    </row>
    <row r="24" spans="1:24">
      <c r="A24" s="6" t="str">
        <f>HYPERLINK("https://irrc.premium-yutaiclub.jp/",テーブル1[[#This Row],[名称]])</f>
        <v>(株)アイリックコーポレーション</v>
      </c>
      <c r="C24" t="s">
        <v>86</v>
      </c>
      <c r="D24">
        <v>7325</v>
      </c>
      <c r="E24" t="s">
        <v>39</v>
      </c>
      <c r="F24" s="7" t="s">
        <v>107</v>
      </c>
      <c r="G24" s="3">
        <v>1428</v>
      </c>
      <c r="H24" s="5">
        <v>7.0000000000000001E-3</v>
      </c>
      <c r="I24">
        <v>10</v>
      </c>
      <c r="J24" s="5">
        <f>テーブル1[[#This Row],[配当利回り]]*テーブル1[[#This Row],[PER]]</f>
        <v>0.21335999999999999</v>
      </c>
      <c r="K24" s="5">
        <f>テーブル1[[#This Row],[配当性向]]*テーブル1[[#This Row],[ROE]]</f>
        <v>2.7438095999999999E-2</v>
      </c>
      <c r="L24">
        <v>30.48</v>
      </c>
      <c r="M24">
        <v>3.76</v>
      </c>
      <c r="N24" s="4">
        <f>テーブル1[[#This Row],[PER]]*テーブル1[[#This Row],[PBR]]</f>
        <v>114.6048</v>
      </c>
      <c r="O24">
        <v>41.01</v>
      </c>
      <c r="P24">
        <v>379.72</v>
      </c>
      <c r="Q24" s="5">
        <v>0.12859999999999999</v>
      </c>
      <c r="R24" s="5">
        <v>0.1772</v>
      </c>
      <c r="S24" s="3">
        <v>3870</v>
      </c>
      <c r="T24" s="3">
        <v>563</v>
      </c>
      <c r="U24" t="s">
        <v>70</v>
      </c>
      <c r="V24" s="3">
        <v>12192</v>
      </c>
      <c r="W24" t="s">
        <v>24</v>
      </c>
      <c r="X24" t="s">
        <v>16</v>
      </c>
    </row>
    <row r="25" spans="1:24">
      <c r="A25" s="6" t="str">
        <f>HYPERLINK("https://urbanet.premium-yutaiclub.jp/",テーブル1[[#This Row],[名称]])</f>
        <v>(株)アーバネットコーポレーション</v>
      </c>
      <c r="C25" t="s">
        <v>86</v>
      </c>
      <c r="D25">
        <v>3242</v>
      </c>
      <c r="E25" t="s">
        <v>40</v>
      </c>
      <c r="F25" t="s">
        <v>106</v>
      </c>
      <c r="G25" s="3">
        <v>358</v>
      </c>
      <c r="H25" s="5">
        <v>6.7000000000000004E-2</v>
      </c>
      <c r="I25">
        <v>24</v>
      </c>
      <c r="J25" s="5">
        <f>テーブル1[[#This Row],[配当利回り]]*テーブル1[[#This Row],[PER]]</f>
        <v>0.41607</v>
      </c>
      <c r="K25" s="5">
        <f>テーブル1[[#This Row],[配当性向]]*テーブル1[[#This Row],[ROE]]</f>
        <v>6.8984405999999998E-2</v>
      </c>
      <c r="L25">
        <v>6.21</v>
      </c>
      <c r="M25">
        <v>1.07</v>
      </c>
      <c r="N25" s="4">
        <f>テーブル1[[#This Row],[PER]]*テーブル1[[#This Row],[PBR]]</f>
        <v>6.6447000000000003</v>
      </c>
      <c r="O25">
        <v>52.09</v>
      </c>
      <c r="P25">
        <v>333.05</v>
      </c>
      <c r="Q25" s="5">
        <v>0.1658</v>
      </c>
      <c r="R25" s="5">
        <v>6.4899999999999999E-2</v>
      </c>
      <c r="S25" s="3">
        <v>20084</v>
      </c>
      <c r="T25" s="3">
        <v>2148</v>
      </c>
      <c r="U25" t="s">
        <v>70</v>
      </c>
      <c r="V25" s="3">
        <v>11232</v>
      </c>
      <c r="W25" t="s">
        <v>20</v>
      </c>
      <c r="X25" t="s">
        <v>16</v>
      </c>
    </row>
    <row r="26" spans="1:24">
      <c r="A26" s="6" t="str">
        <f>HYPERLINK("https://housedo.premium-yutaiclub.jp/",テーブル1[[#This Row],[名称]])</f>
        <v>(株)ハウスドゥ</v>
      </c>
      <c r="C26" t="s">
        <v>86</v>
      </c>
      <c r="D26">
        <v>3457</v>
      </c>
      <c r="E26" t="s">
        <v>41</v>
      </c>
      <c r="F26" t="s">
        <v>105</v>
      </c>
      <c r="G26" s="3">
        <v>1422</v>
      </c>
      <c r="H26" s="5">
        <v>2.3900000000000001E-2</v>
      </c>
      <c r="I26">
        <v>34</v>
      </c>
      <c r="J26" s="5">
        <f>テーブル1[[#This Row],[配当利回り]]*テーブル1[[#This Row],[PER]]</f>
        <v>0.30353000000000002</v>
      </c>
      <c r="K26" s="5">
        <f>テーブル1[[#This Row],[配当性向]]*テーブル1[[#This Row],[ROE]]</f>
        <v>5.8277760000000005E-2</v>
      </c>
      <c r="L26">
        <v>12.7</v>
      </c>
      <c r="M26">
        <v>2.63</v>
      </c>
      <c r="N26" s="4">
        <f>テーブル1[[#This Row],[PER]]*テーブル1[[#This Row],[PBR]]</f>
        <v>33.400999999999996</v>
      </c>
      <c r="O26">
        <v>103.38</v>
      </c>
      <c r="P26">
        <v>539.91999999999996</v>
      </c>
      <c r="Q26" s="5">
        <v>0.192</v>
      </c>
      <c r="R26" s="5">
        <v>8.4599999999999995E-2</v>
      </c>
      <c r="S26" s="3">
        <v>31546</v>
      </c>
      <c r="T26" s="3">
        <v>3156</v>
      </c>
      <c r="U26" t="s">
        <v>70</v>
      </c>
      <c r="V26" s="3">
        <v>27699</v>
      </c>
      <c r="W26" t="s">
        <v>15</v>
      </c>
      <c r="X26" t="s">
        <v>16</v>
      </c>
    </row>
    <row r="27" spans="1:24">
      <c r="A27" s="6" t="str">
        <f>HYPERLINK("https://andfactory.premium-yutaiclub.jp/",テーブル1[[#This Row],[名称]])</f>
        <v>ａｎｄ　ｆａｃｔｏｒｙ(株)</v>
      </c>
      <c r="C27" t="s">
        <v>87</v>
      </c>
      <c r="D27">
        <v>7035</v>
      </c>
      <c r="E27" t="s">
        <v>42</v>
      </c>
      <c r="F27" s="7" t="s">
        <v>104</v>
      </c>
      <c r="G27" s="3">
        <v>2330</v>
      </c>
      <c r="H27" s="5" t="s">
        <v>19</v>
      </c>
      <c r="I27" t="s">
        <v>60</v>
      </c>
      <c r="J27" s="5" t="e">
        <f>テーブル1[[#This Row],[配当利回り]]*テーブル1[[#This Row],[PER]]</f>
        <v>#VALUE!</v>
      </c>
      <c r="K27" s="5" t="e">
        <f>テーブル1[[#This Row],[配当性向]]*テーブル1[[#This Row],[ROE]]</f>
        <v>#VALUE!</v>
      </c>
      <c r="L27">
        <v>57.83</v>
      </c>
      <c r="M27">
        <v>12.41</v>
      </c>
      <c r="N27" s="4">
        <f>テーブル1[[#This Row],[PER]]*テーブル1[[#This Row],[PBR]]</f>
        <v>717.6703</v>
      </c>
      <c r="O27">
        <v>34.770000000000003</v>
      </c>
      <c r="P27">
        <v>187.7</v>
      </c>
      <c r="Q27" s="5">
        <v>0.29049999999999998</v>
      </c>
      <c r="R27" s="5">
        <v>0.22189999999999999</v>
      </c>
      <c r="S27" s="3">
        <v>3916</v>
      </c>
      <c r="T27" s="3">
        <v>512</v>
      </c>
      <c r="U27" t="s">
        <v>63</v>
      </c>
      <c r="V27" s="3">
        <v>22705</v>
      </c>
      <c r="W27" t="s">
        <v>24</v>
      </c>
      <c r="X27" t="s">
        <v>16</v>
      </c>
    </row>
    <row r="28" spans="1:24">
      <c r="A28" s="6" t="str">
        <f>HYPERLINK("https://tghd.premium-yutaiclub.jp/",テーブル1[[#This Row],[名称]])</f>
        <v>(株)ツナググループ・ホールディングス</v>
      </c>
      <c r="C28" t="s">
        <v>88</v>
      </c>
      <c r="D28">
        <v>6551</v>
      </c>
      <c r="E28" t="s">
        <v>43</v>
      </c>
      <c r="F28" t="s">
        <v>103</v>
      </c>
      <c r="G28" s="3">
        <v>808</v>
      </c>
      <c r="H28" s="5">
        <v>5.0000000000000001E-3</v>
      </c>
      <c r="I28">
        <v>4</v>
      </c>
      <c r="J28" s="5" t="e">
        <f>テーブル1[[#This Row],[配当利回り]]*テーブル1[[#This Row],[PER]]</f>
        <v>#VALUE!</v>
      </c>
      <c r="K28" s="5" t="e">
        <f>テーブル1[[#This Row],[配当性向]]*テーブル1[[#This Row],[ROE]]</f>
        <v>#VALUE!</v>
      </c>
      <c r="L28" t="s">
        <v>60</v>
      </c>
      <c r="M28">
        <v>4.47</v>
      </c>
      <c r="N28" s="4" t="e">
        <f>テーブル1[[#This Row],[PER]]*テーブル1[[#This Row],[PBR]]</f>
        <v>#VALUE!</v>
      </c>
      <c r="O28" t="s">
        <v>60</v>
      </c>
      <c r="P28">
        <v>180.81</v>
      </c>
      <c r="Q28" s="5">
        <v>1.7299999999999999E-2</v>
      </c>
      <c r="R28" s="5">
        <v>4.3700000000000003E-2</v>
      </c>
      <c r="S28" s="3">
        <v>10617</v>
      </c>
      <c r="T28" s="3">
        <v>220</v>
      </c>
      <c r="U28" t="s">
        <v>66</v>
      </c>
      <c r="V28" s="3">
        <v>5929</v>
      </c>
      <c r="W28" t="s">
        <v>15</v>
      </c>
      <c r="X28" t="s">
        <v>16</v>
      </c>
    </row>
    <row r="29" spans="1:24">
      <c r="A29" s="6" t="str">
        <f>HYPERLINK("https://propertyagent.premium-yutaiclub.jp/",テーブル1[[#This Row],[名称]])</f>
        <v>プロパティエージェント(株)</v>
      </c>
      <c r="C29" t="s">
        <v>88</v>
      </c>
      <c r="D29">
        <v>3464</v>
      </c>
      <c r="E29" t="s">
        <v>44</v>
      </c>
      <c r="F29" t="s">
        <v>102</v>
      </c>
      <c r="G29" s="3">
        <v>1170</v>
      </c>
      <c r="H29" s="5">
        <v>1.9699999999999999E-2</v>
      </c>
      <c r="I29">
        <v>23</v>
      </c>
      <c r="J29" s="5">
        <f>テーブル1[[#This Row],[配当利回り]]*テーブル1[[#This Row],[PER]]</f>
        <v>0.17316299999999998</v>
      </c>
      <c r="K29" s="5">
        <f>テーブル1[[#This Row],[配当性向]]*テーブル1[[#This Row],[ROE]]</f>
        <v>3.3091449299999992E-2</v>
      </c>
      <c r="L29">
        <v>8.7899999999999991</v>
      </c>
      <c r="M29">
        <v>1.4</v>
      </c>
      <c r="N29" s="4">
        <f>テーブル1[[#This Row],[PER]]*テーブル1[[#This Row],[PBR]]</f>
        <v>12.305999999999997</v>
      </c>
      <c r="O29">
        <v>126.16</v>
      </c>
      <c r="P29">
        <v>838.37</v>
      </c>
      <c r="Q29" s="5">
        <v>0.19109999999999999</v>
      </c>
      <c r="R29" s="5">
        <v>6.9800000000000001E-2</v>
      </c>
      <c r="S29" s="3">
        <v>21534</v>
      </c>
      <c r="T29" s="3">
        <v>1730</v>
      </c>
      <c r="U29" t="s">
        <v>65</v>
      </c>
      <c r="V29" s="3">
        <v>8363</v>
      </c>
      <c r="W29" t="s">
        <v>15</v>
      </c>
      <c r="X29" t="s">
        <v>16</v>
      </c>
    </row>
    <row r="30" spans="1:24">
      <c r="A30" s="6" t="str">
        <f>HYPERLINK("https://tohsui.premium-yutaiclub.jp/",テーブル1[[#This Row],[名称]])</f>
        <v>東都水産(株)</v>
      </c>
      <c r="C30" t="s">
        <v>88</v>
      </c>
      <c r="D30">
        <v>8038</v>
      </c>
      <c r="E30" t="s">
        <v>45</v>
      </c>
      <c r="F30" t="s">
        <v>101</v>
      </c>
      <c r="G30" s="3">
        <v>2691</v>
      </c>
      <c r="H30" s="5">
        <v>2.4199999999999999E-2</v>
      </c>
      <c r="I30">
        <v>65</v>
      </c>
      <c r="J30" s="5">
        <f>テーブル1[[#This Row],[配当利回り]]*テーブル1[[#This Row],[PER]]</f>
        <v>0.24974399999999999</v>
      </c>
      <c r="K30" s="5">
        <f>テーブル1[[#This Row],[配当性向]]*テーブル1[[#This Row],[ROE]]</f>
        <v>2.2152292800000001E-2</v>
      </c>
      <c r="L30">
        <v>10.32</v>
      </c>
      <c r="M30">
        <v>0.67</v>
      </c>
      <c r="N30" s="4">
        <f>テーブル1[[#This Row],[PER]]*テーブル1[[#This Row],[PBR]]</f>
        <v>6.9144000000000005</v>
      </c>
      <c r="O30">
        <v>354.81</v>
      </c>
      <c r="P30">
        <v>4032.93</v>
      </c>
      <c r="Q30" s="5">
        <v>8.8700000000000001E-2</v>
      </c>
      <c r="R30" s="5">
        <v>5.8900000000000001E-2</v>
      </c>
      <c r="S30" s="3">
        <v>116382</v>
      </c>
      <c r="T30" s="3">
        <v>1362</v>
      </c>
      <c r="U30" t="s">
        <v>65</v>
      </c>
      <c r="V30" s="3">
        <v>10834</v>
      </c>
      <c r="W30" t="s">
        <v>15</v>
      </c>
      <c r="X30" t="s">
        <v>16</v>
      </c>
    </row>
    <row r="31" spans="1:24">
      <c r="A31" s="6" t="str">
        <f>HYPERLINK("https://partneragent.premium-yutaiclub.jp/",テーブル1[[#This Row],[名称]])</f>
        <v>(株)パートナーエージェント</v>
      </c>
      <c r="C31" t="s">
        <v>88</v>
      </c>
      <c r="D31">
        <v>6181</v>
      </c>
      <c r="E31" t="s">
        <v>46</v>
      </c>
      <c r="F31" t="s">
        <v>100</v>
      </c>
      <c r="G31" s="3">
        <v>430</v>
      </c>
      <c r="H31" s="5" t="s">
        <v>19</v>
      </c>
      <c r="I31" t="s">
        <v>60</v>
      </c>
      <c r="J31" s="5" t="e">
        <f>テーブル1[[#This Row],[配当利回り]]*テーブル1[[#This Row],[PER]]</f>
        <v>#VALUE!</v>
      </c>
      <c r="K31" s="5" t="e">
        <f>テーブル1[[#This Row],[配当性向]]*テーブル1[[#This Row],[ROE]]</f>
        <v>#VALUE!</v>
      </c>
      <c r="L31">
        <v>33.94</v>
      </c>
      <c r="M31">
        <v>4.2</v>
      </c>
      <c r="N31" s="4">
        <f>テーブル1[[#This Row],[PER]]*テーブル1[[#This Row],[PBR]]</f>
        <v>142.548</v>
      </c>
      <c r="O31">
        <v>8.99</v>
      </c>
      <c r="P31">
        <v>102.44</v>
      </c>
      <c r="Q31" s="5">
        <v>9.8400000000000001E-2</v>
      </c>
      <c r="R31" s="5">
        <v>6.7199999999999996E-2</v>
      </c>
      <c r="S31" s="3">
        <v>4151</v>
      </c>
      <c r="T31" s="3">
        <v>216</v>
      </c>
      <c r="U31" t="s">
        <v>65</v>
      </c>
      <c r="V31" s="3">
        <v>4592</v>
      </c>
      <c r="W31" t="s">
        <v>24</v>
      </c>
      <c r="X31" t="s">
        <v>16</v>
      </c>
    </row>
    <row r="32" spans="1:24">
      <c r="A32" s="6" t="str">
        <f>HYPERLINK("https://dear-life.premium-yutaiclub.jp/",テーブル1[[#This Row],[名称]])</f>
        <v>(株)ディア・ライフ</v>
      </c>
      <c r="C32" t="s">
        <v>88</v>
      </c>
      <c r="D32">
        <v>3245</v>
      </c>
      <c r="E32" t="s">
        <v>47</v>
      </c>
      <c r="F32" t="s">
        <v>93</v>
      </c>
      <c r="G32" s="3">
        <v>611</v>
      </c>
      <c r="H32" s="5">
        <v>4.58E-2</v>
      </c>
      <c r="I32">
        <v>28</v>
      </c>
      <c r="J32" s="5">
        <f>テーブル1[[#This Row],[配当利回り]]*テーブル1[[#This Row],[PER]]</f>
        <v>0.404414</v>
      </c>
      <c r="K32" s="5">
        <f>テーブル1[[#This Row],[配当性向]]*テーブル1[[#This Row],[ROE]]</f>
        <v>7.5221003999999994E-2</v>
      </c>
      <c r="L32">
        <v>8.83</v>
      </c>
      <c r="M32">
        <v>1.82</v>
      </c>
      <c r="N32" s="4">
        <f>テーブル1[[#This Row],[PER]]*テーブル1[[#This Row],[PBR]]</f>
        <v>16.070600000000002</v>
      </c>
      <c r="O32">
        <v>59.52</v>
      </c>
      <c r="P32">
        <v>335.52</v>
      </c>
      <c r="Q32" s="5">
        <v>0.186</v>
      </c>
      <c r="R32" s="5">
        <v>0.14080000000000001</v>
      </c>
      <c r="S32" s="3">
        <v>19866</v>
      </c>
      <c r="T32" s="3">
        <v>3333</v>
      </c>
      <c r="U32" t="s">
        <v>66</v>
      </c>
      <c r="V32" s="3">
        <v>24930</v>
      </c>
      <c r="W32" t="s">
        <v>15</v>
      </c>
      <c r="X32" t="s">
        <v>16</v>
      </c>
    </row>
    <row r="33" spans="1:24">
      <c r="A33" s="6" t="str">
        <f>HYPERLINK("https://yumeshin.premium-yutaiclub.jp/",テーブル1[[#This Row],[名称]])</f>
        <v>(株)夢真ホールディングス</v>
      </c>
      <c r="C33" t="s">
        <v>88</v>
      </c>
      <c r="D33">
        <v>2362</v>
      </c>
      <c r="E33" t="s">
        <v>48</v>
      </c>
      <c r="F33" t="s">
        <v>99</v>
      </c>
      <c r="G33" s="3">
        <v>902</v>
      </c>
      <c r="H33" s="5">
        <v>3.8800000000000001E-2</v>
      </c>
      <c r="I33">
        <v>35</v>
      </c>
      <c r="J33" s="5">
        <f>テーブル1[[#This Row],[配当利回り]]*テーブル1[[#This Row],[PER]]</f>
        <v>0.49392400000000003</v>
      </c>
      <c r="K33" s="5">
        <f>テーブル1[[#This Row],[配当性向]]*テーブル1[[#This Row],[ROE]]</f>
        <v>9.9970217600000008E-2</v>
      </c>
      <c r="L33">
        <v>12.73</v>
      </c>
      <c r="M33">
        <v>5.79</v>
      </c>
      <c r="N33" s="4">
        <f>テーブル1[[#This Row],[PER]]*テーブル1[[#This Row],[PBR]]</f>
        <v>73.706699999999998</v>
      </c>
      <c r="O33">
        <v>32.729999999999997</v>
      </c>
      <c r="P33">
        <v>155.75</v>
      </c>
      <c r="Q33" s="5">
        <v>0.2024</v>
      </c>
      <c r="R33" s="5">
        <v>0.17380000000000001</v>
      </c>
      <c r="S33" s="3">
        <v>52505</v>
      </c>
      <c r="T33" s="3">
        <v>4719</v>
      </c>
      <c r="U33" t="s">
        <v>66</v>
      </c>
      <c r="V33" s="3">
        <v>71116</v>
      </c>
      <c r="W33" t="s">
        <v>20</v>
      </c>
      <c r="X33" t="s">
        <v>16</v>
      </c>
    </row>
    <row r="34" spans="1:24">
      <c r="A34" s="6" t="str">
        <f>HYPERLINK("https://change.premium-yutaiclub.jp/",テーブル1[[#This Row],[名称]])</f>
        <v>(株)チェンジ</v>
      </c>
      <c r="C34" t="s">
        <v>88</v>
      </c>
      <c r="D34">
        <v>3962</v>
      </c>
      <c r="E34" t="s">
        <v>49</v>
      </c>
      <c r="F34" t="s">
        <v>98</v>
      </c>
      <c r="G34" s="3">
        <v>3235</v>
      </c>
      <c r="H34" s="5" t="s">
        <v>19</v>
      </c>
      <c r="I34" t="s">
        <v>60</v>
      </c>
      <c r="J34" s="5" t="e">
        <f>テーブル1[[#This Row],[配当利回り]]*テーブル1[[#This Row],[PER]]</f>
        <v>#VALUE!</v>
      </c>
      <c r="K34" s="5" t="e">
        <f>テーブル1[[#This Row],[配当性向]]*テーブル1[[#This Row],[ROE]]</f>
        <v>#VALUE!</v>
      </c>
      <c r="L34">
        <v>97.44</v>
      </c>
      <c r="M34">
        <v>9.14</v>
      </c>
      <c r="N34" s="4">
        <f>テーブル1[[#This Row],[PER]]*テーブル1[[#This Row],[PBR]]</f>
        <v>890.60160000000008</v>
      </c>
      <c r="O34">
        <v>26.15</v>
      </c>
      <c r="P34">
        <v>353.8</v>
      </c>
      <c r="Q34" s="5">
        <v>6.8199999999999997E-2</v>
      </c>
      <c r="R34" s="5">
        <v>8.7999999999999995E-2</v>
      </c>
      <c r="S34" s="3">
        <v>7054</v>
      </c>
      <c r="T34" s="3">
        <v>1081</v>
      </c>
      <c r="U34" t="s">
        <v>66</v>
      </c>
      <c r="V34" s="3">
        <v>50880</v>
      </c>
      <c r="W34" t="s">
        <v>15</v>
      </c>
      <c r="X34" t="s">
        <v>16</v>
      </c>
    </row>
    <row r="35" spans="1:24">
      <c r="A35" s="6" t="str">
        <f>HYPERLINK("https://jp-holdings.premium-yutaiclub.jp/",テーブル1[[#This Row],[名称]])</f>
        <v>(株)ＪＰホールディングス</v>
      </c>
      <c r="C35" t="s">
        <v>88</v>
      </c>
      <c r="D35">
        <v>2749</v>
      </c>
      <c r="E35" t="s">
        <v>50</v>
      </c>
      <c r="F35" t="s">
        <v>97</v>
      </c>
      <c r="G35" s="3">
        <v>337</v>
      </c>
      <c r="H35" s="5">
        <v>1.1599999999999999E-2</v>
      </c>
      <c r="I35">
        <v>3.9</v>
      </c>
      <c r="J35" s="5">
        <f>テーブル1[[#This Row],[配当利回り]]*テーブル1[[#This Row],[PER]]</f>
        <v>0.28327200000000002</v>
      </c>
      <c r="K35" s="5">
        <f>テーブル1[[#This Row],[配当性向]]*テーブル1[[#This Row],[ROE]]</f>
        <v>3.6315470400000008E-2</v>
      </c>
      <c r="L35">
        <v>24.42</v>
      </c>
      <c r="M35">
        <v>3.21</v>
      </c>
      <c r="N35" s="4">
        <f>テーブル1[[#This Row],[PER]]*テーブル1[[#This Row],[PBR]]</f>
        <v>78.388199999999998</v>
      </c>
      <c r="O35">
        <v>12.44</v>
      </c>
      <c r="P35">
        <v>105.1</v>
      </c>
      <c r="Q35" s="5">
        <v>0.12820000000000001</v>
      </c>
      <c r="R35" s="5">
        <v>7.1099999999999997E-2</v>
      </c>
      <c r="S35" s="3">
        <v>29298</v>
      </c>
      <c r="T35" s="3">
        <v>1531</v>
      </c>
      <c r="U35" t="s">
        <v>65</v>
      </c>
      <c r="V35" s="3">
        <v>29605</v>
      </c>
      <c r="W35" t="s">
        <v>15</v>
      </c>
      <c r="X35" t="s">
        <v>16</v>
      </c>
    </row>
    <row r="36" spans="1:24">
      <c r="A36" s="6" t="str">
        <f>HYPERLINK("https://msols.premium-yutaiclub.jp/pre/",テーブル1[[#This Row],[名称]])</f>
        <v>(株)マネジメントソリューションズ</v>
      </c>
      <c r="C36" t="s">
        <v>89</v>
      </c>
      <c r="D36">
        <v>7033</v>
      </c>
      <c r="E36" t="s">
        <v>51</v>
      </c>
      <c r="F36" s="7" t="s">
        <v>96</v>
      </c>
      <c r="G36" s="3">
        <v>3220</v>
      </c>
      <c r="H36" s="5" t="s">
        <v>19</v>
      </c>
      <c r="I36" t="s">
        <v>60</v>
      </c>
      <c r="J36" s="5" t="e">
        <f>テーブル1[[#This Row],[配当利回り]]*テーブル1[[#This Row],[PER]]</f>
        <v>#VALUE!</v>
      </c>
      <c r="K36" s="5" t="e">
        <f>テーブル1[[#This Row],[配当性向]]*テーブル1[[#This Row],[ROE]]</f>
        <v>#VALUE!</v>
      </c>
      <c r="L36">
        <v>107.87</v>
      </c>
      <c r="M36">
        <v>10.66</v>
      </c>
      <c r="N36" s="4">
        <f>テーブル1[[#This Row],[PER]]*テーブル1[[#This Row],[PBR]]</f>
        <v>1149.8942</v>
      </c>
      <c r="O36">
        <v>53.06</v>
      </c>
      <c r="P36">
        <v>302.02</v>
      </c>
      <c r="Q36" s="5">
        <v>0.19189999999999999</v>
      </c>
      <c r="R36" s="5">
        <v>0.19670000000000001</v>
      </c>
      <c r="S36" s="3">
        <v>3894</v>
      </c>
      <c r="T36" s="3">
        <v>449</v>
      </c>
      <c r="U36" t="s">
        <v>67</v>
      </c>
      <c r="V36" s="3">
        <v>17814</v>
      </c>
      <c r="W36" t="s">
        <v>15</v>
      </c>
      <c r="X36" t="s">
        <v>16</v>
      </c>
    </row>
    <row r="37" spans="1:24">
      <c r="A37" s="6" t="str">
        <f>HYPERLINK("https://cyberstep.premium-yutaiclub.jp/mainte/",テーブル1[[#This Row],[名称]])</f>
        <v>サイバーステップ(株)</v>
      </c>
      <c r="C37" t="s">
        <v>90</v>
      </c>
      <c r="D37">
        <v>3810</v>
      </c>
      <c r="E37" t="s">
        <v>52</v>
      </c>
      <c r="F37" t="s">
        <v>99</v>
      </c>
      <c r="G37" s="3">
        <v>2200</v>
      </c>
      <c r="H37" s="5">
        <v>4.4999999999999997E-3</v>
      </c>
      <c r="I37">
        <v>10</v>
      </c>
      <c r="J37" s="5">
        <f>テーブル1[[#This Row],[配当利回り]]*テーブル1[[#This Row],[PER]]</f>
        <v>0.24587999999999999</v>
      </c>
      <c r="K37" s="5">
        <f>テーブル1[[#This Row],[配当性向]]*テーブル1[[#This Row],[ROE]]</f>
        <v>-2.4735527999999996E-2</v>
      </c>
      <c r="L37">
        <v>54.64</v>
      </c>
      <c r="M37">
        <v>3.76</v>
      </c>
      <c r="N37" s="4">
        <f>テーブル1[[#This Row],[PER]]*テーブル1[[#This Row],[PBR]]</f>
        <v>205.44639999999998</v>
      </c>
      <c r="O37">
        <v>-45.54</v>
      </c>
      <c r="P37">
        <v>584.66</v>
      </c>
      <c r="Q37" s="5">
        <v>-0.10059999999999999</v>
      </c>
      <c r="R37" s="5">
        <v>2.0299999999999999E-2</v>
      </c>
      <c r="S37" s="3">
        <v>11553</v>
      </c>
      <c r="T37" s="3">
        <v>181</v>
      </c>
      <c r="U37" t="s">
        <v>69</v>
      </c>
      <c r="V37" s="3">
        <v>17094</v>
      </c>
      <c r="W37" t="s">
        <v>36</v>
      </c>
      <c r="X37" t="s">
        <v>16</v>
      </c>
    </row>
    <row r="38" spans="1:24">
      <c r="A38" s="6" t="str">
        <f>HYPERLINK("https://kyodo-pr.premium-yutaiclub.jp/pre/",テーブル1[[#This Row],[名称]])</f>
        <v>共同ピーアール(株)</v>
      </c>
      <c r="C38" t="s">
        <v>91</v>
      </c>
      <c r="D38">
        <v>2436</v>
      </c>
      <c r="E38" t="s">
        <v>53</v>
      </c>
      <c r="F38" t="s">
        <v>95</v>
      </c>
      <c r="G38" s="3">
        <v>1231</v>
      </c>
      <c r="H38" s="5">
        <v>8.0999999999999996E-3</v>
      </c>
      <c r="I38">
        <v>10</v>
      </c>
      <c r="J38" s="5">
        <f>テーブル1[[#This Row],[配当利回り]]*テーブル1[[#This Row],[PER]]</f>
        <v>9.9953999999999987E-2</v>
      </c>
      <c r="K38" s="5">
        <f>テーブル1[[#This Row],[配当性向]]*テーブル1[[#This Row],[ROE]]</f>
        <v>2.8996655399999998E-2</v>
      </c>
      <c r="L38">
        <v>12.34</v>
      </c>
      <c r="M38">
        <v>2.72</v>
      </c>
      <c r="N38" s="4">
        <f>テーブル1[[#This Row],[PER]]*テーブル1[[#This Row],[PBR]]</f>
        <v>33.564800000000005</v>
      </c>
      <c r="O38">
        <v>93.21</v>
      </c>
      <c r="P38">
        <v>453.01</v>
      </c>
      <c r="Q38" s="5">
        <v>0.29010000000000002</v>
      </c>
      <c r="R38" s="5">
        <v>0.187</v>
      </c>
      <c r="S38" s="3">
        <v>5317</v>
      </c>
      <c r="T38" s="3">
        <v>444</v>
      </c>
      <c r="U38" t="s">
        <v>71</v>
      </c>
      <c r="V38" s="3">
        <v>5028</v>
      </c>
      <c r="W38" t="s">
        <v>20</v>
      </c>
      <c r="X38" t="s">
        <v>16</v>
      </c>
    </row>
    <row r="39" spans="1:24">
      <c r="A39" s="6" t="str">
        <f>HYPERLINK("https://daytona.premium-yutaiclub.jp/pre/",テーブル1[[#This Row],[名称]])</f>
        <v>(株)デイトナ</v>
      </c>
      <c r="C39" t="s">
        <v>91</v>
      </c>
      <c r="D39">
        <v>7228</v>
      </c>
      <c r="E39" t="s">
        <v>54</v>
      </c>
      <c r="F39" t="s">
        <v>94</v>
      </c>
      <c r="G39" s="3">
        <v>1386</v>
      </c>
      <c r="H39" s="5">
        <v>1.37E-2</v>
      </c>
      <c r="I39">
        <v>19</v>
      </c>
      <c r="J39" s="5">
        <f>テーブル1[[#This Row],[配当利回り]]*テーブル1[[#This Row],[PER]]</f>
        <v>8.6995000000000003E-2</v>
      </c>
      <c r="K39" s="5">
        <f>テーブル1[[#This Row],[配当性向]]*テーブル1[[#This Row],[ROE]]</f>
        <v>1.2457684E-2</v>
      </c>
      <c r="L39">
        <v>6.35</v>
      </c>
      <c r="M39">
        <v>0.96</v>
      </c>
      <c r="N39" s="4">
        <f>テーブル1[[#This Row],[PER]]*テーブル1[[#This Row],[PBR]]</f>
        <v>6.0959999999999992</v>
      </c>
      <c r="O39">
        <v>171.48</v>
      </c>
      <c r="P39">
        <v>1447.98</v>
      </c>
      <c r="Q39" s="5">
        <v>0.14319999999999999</v>
      </c>
      <c r="R39" s="5">
        <v>9.5000000000000001E-2</v>
      </c>
      <c r="S39" s="3">
        <v>8097</v>
      </c>
      <c r="T39" s="3">
        <v>594</v>
      </c>
      <c r="U39" t="s">
        <v>71</v>
      </c>
      <c r="V39" s="3">
        <v>4996</v>
      </c>
      <c r="W39" t="s">
        <v>20</v>
      </c>
      <c r="X39" t="s">
        <v>16</v>
      </c>
    </row>
    <row r="40" spans="1:24">
      <c r="A40" s="6" t="str">
        <f>HYPERLINK("https://wasou.premium-yutaiclub.jp/",テーブル1[[#This Row],[名称]])</f>
        <v>日本和装ホールディングス(株)</v>
      </c>
      <c r="C40" t="s">
        <v>91</v>
      </c>
      <c r="D40">
        <v>2499</v>
      </c>
      <c r="E40" t="s">
        <v>55</v>
      </c>
      <c r="F40" t="s">
        <v>93</v>
      </c>
      <c r="G40" s="3">
        <v>393</v>
      </c>
      <c r="H40" s="5">
        <v>3.3099999999999997E-2</v>
      </c>
      <c r="I40">
        <v>13</v>
      </c>
      <c r="J40" s="5">
        <f>テーブル1[[#This Row],[配当利回り]]*テーブル1[[#This Row],[PER]]</f>
        <v>0.37700899999999998</v>
      </c>
      <c r="K40" s="5">
        <f>テーブル1[[#This Row],[配当性向]]*テーブル1[[#This Row],[ROE]]</f>
        <v>5.6061238299999996E-2</v>
      </c>
      <c r="L40">
        <v>11.39</v>
      </c>
      <c r="M40">
        <v>1.1399999999999999</v>
      </c>
      <c r="N40" s="4">
        <f>テーブル1[[#This Row],[PER]]*テーブル1[[#This Row],[PBR]]</f>
        <v>12.9846</v>
      </c>
      <c r="O40">
        <v>45.55</v>
      </c>
      <c r="P40">
        <v>343.82</v>
      </c>
      <c r="Q40" s="5">
        <v>0.1487</v>
      </c>
      <c r="R40" s="5">
        <v>8.1299999999999997E-2</v>
      </c>
      <c r="S40" s="3">
        <v>5659</v>
      </c>
      <c r="T40" s="3">
        <v>683</v>
      </c>
      <c r="U40" t="s">
        <v>71</v>
      </c>
      <c r="V40" s="3">
        <v>3590</v>
      </c>
      <c r="W40" t="s">
        <v>36</v>
      </c>
      <c r="X40" t="s">
        <v>16</v>
      </c>
    </row>
    <row r="41" spans="1:24">
      <c r="A41" s="6" t="str">
        <f>HYPERLINK("https://mediaflag.premium-yutaiclub.jp/mainte/",テーブル1[[#This Row],[名称]])</f>
        <v>インパクトホールディングス(株)</v>
      </c>
      <c r="C41" t="s">
        <v>91</v>
      </c>
      <c r="D41">
        <v>6067</v>
      </c>
      <c r="E41" t="s">
        <v>56</v>
      </c>
      <c r="F41" t="s">
        <v>99</v>
      </c>
      <c r="G41" s="3">
        <v>2559</v>
      </c>
      <c r="H41" s="5">
        <v>5.8999999999999999E-3</v>
      </c>
      <c r="I41">
        <v>15</v>
      </c>
      <c r="J41" s="5" t="e">
        <f>テーブル1[[#This Row],[配当利回り]]*テーブル1[[#This Row],[PER]]</f>
        <v>#VALUE!</v>
      </c>
      <c r="K41" s="5" t="e">
        <f>テーブル1[[#This Row],[配当性向]]*テーブル1[[#This Row],[ROE]]</f>
        <v>#VALUE!</v>
      </c>
      <c r="L41" t="s">
        <v>60</v>
      </c>
      <c r="M41">
        <v>11.05</v>
      </c>
      <c r="N41" s="4" t="e">
        <f>テーブル1[[#This Row],[PER]]*テーブル1[[#This Row],[PBR]]</f>
        <v>#VALUE!</v>
      </c>
      <c r="O41" t="s">
        <v>60</v>
      </c>
      <c r="P41">
        <v>231.49</v>
      </c>
      <c r="Q41" s="5">
        <v>0.19239999999999999</v>
      </c>
      <c r="R41" s="5">
        <v>0.113</v>
      </c>
      <c r="S41" s="3">
        <v>6277</v>
      </c>
      <c r="T41" s="3">
        <v>406</v>
      </c>
      <c r="U41" t="s">
        <v>71</v>
      </c>
      <c r="V41" s="3">
        <v>15357</v>
      </c>
      <c r="W41" t="s">
        <v>24</v>
      </c>
      <c r="X41" t="s">
        <v>16</v>
      </c>
    </row>
    <row r="42" spans="1:24">
      <c r="A42" s="6" t="str">
        <f>HYPERLINK("https://epco.premium-yutaiclub.jp/",テーブル1[[#This Row],[名称]])</f>
        <v>(株)エプコ</v>
      </c>
      <c r="C42" t="s">
        <v>91</v>
      </c>
      <c r="D42">
        <v>2311</v>
      </c>
      <c r="E42" t="s">
        <v>57</v>
      </c>
      <c r="F42" t="s">
        <v>92</v>
      </c>
      <c r="G42" s="3">
        <v>1428</v>
      </c>
      <c r="H42" s="5">
        <v>1.9300000000000001E-2</v>
      </c>
      <c r="I42">
        <v>27.5</v>
      </c>
      <c r="J42" s="5">
        <f>テーブル1[[#This Row],[配当利回り]]*テーブル1[[#This Row],[PER]]</f>
        <v>0.70387100000000002</v>
      </c>
      <c r="K42" s="5">
        <f>テーブル1[[#This Row],[配当性向]]*テーブル1[[#This Row],[ROE]]</f>
        <v>6.7853164399999999E-2</v>
      </c>
      <c r="L42">
        <v>36.47</v>
      </c>
      <c r="M42">
        <v>4.25</v>
      </c>
      <c r="N42" s="4">
        <f>テーブル1[[#This Row],[PER]]*テーブル1[[#This Row],[PBR]]</f>
        <v>154.9975</v>
      </c>
      <c r="O42">
        <v>32.47</v>
      </c>
      <c r="P42">
        <v>335.84</v>
      </c>
      <c r="Q42" s="5">
        <v>9.64E-2</v>
      </c>
      <c r="R42" s="5">
        <v>0.1288</v>
      </c>
      <c r="S42" s="3">
        <v>3899</v>
      </c>
      <c r="T42" s="3">
        <v>578</v>
      </c>
      <c r="U42" t="s">
        <v>71</v>
      </c>
      <c r="V42" s="3">
        <v>13303</v>
      </c>
      <c r="W42" t="s">
        <v>15</v>
      </c>
      <c r="X42" t="s">
        <v>16</v>
      </c>
    </row>
  </sheetData>
  <phoneticPr fontId="2"/>
  <conditionalFormatting sqref="N4:N42">
    <cfRule type="cellIs" dxfId="2" priority="2" operator="lessThan">
      <formula>22.5</formula>
    </cfRule>
  </conditionalFormatting>
  <conditionalFormatting sqref="V4:V42">
    <cfRule type="cellIs" dxfId="0" priority="1" operator="lessThan">
      <formula>20000</formula>
    </cfRule>
  </conditionalFormatting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2020.1.17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おさいふプラス＠ジン</dc:creator>
  <cp:lastModifiedBy>おさいふプラス＠ジン</cp:lastModifiedBy>
  <dcterms:created xsi:type="dcterms:W3CDTF">2015-06-05T18:19:34Z</dcterms:created>
  <dcterms:modified xsi:type="dcterms:W3CDTF">2020-01-18T14:56:07Z</dcterms:modified>
</cp:coreProperties>
</file>